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vmlDrawing1.vml" ContentType="application/vnd.openxmlformats-officedocument.vmlDrawing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ntributions" sheetId="1" state="visible" r:id="rId2"/>
    <sheet name="Budget 2020" sheetId="2" state="visible" r:id="rId3"/>
    <sheet name="Program Manager" sheetId="3" state="visible" r:id="rId4"/>
    <sheet name="Dynamics" sheetId="4" state="visible" r:id="rId5"/>
    <sheet name="Physics" sheetId="5" state="visible" r:id="rId6"/>
    <sheet name="Data Assimilation" sheetId="6" state="visible" r:id="rId7"/>
    <sheet name="Predictability" sheetId="7" state="visible" r:id="rId8"/>
    <sheet name="Data Manager" sheetId="8" state="visible" r:id="rId9"/>
    <sheet name="System Coordinator" sheetId="9" state="visible" r:id="rId10"/>
    <sheet name="ALADIN" sheetId="10" state="visible" r:id="rId11"/>
    <sheet name="ALADIN-FR (neutral)" sheetId="11" state="visible" r:id="rId12"/>
    <sheet name="pending from 2017 and 2018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I21" authorId="0">
      <text>
        <r>
          <rPr>
            <sz val="8"/>
            <color rgb="FF000000"/>
            <rFont val="Segoe UI"/>
            <family val="2"/>
          </rPr>
          <t xml:space="preserve">This  is a neutral category, MF dedicates the funds that LACE pays to scientists for mission at the same amount</t>
        </r>
      </text>
    </comment>
    <comment ref="I25" authorId="0">
      <text>
        <r>
          <rPr>
            <sz val="8"/>
            <color rgb="FF000000"/>
            <rFont val="Segoe UI"/>
            <family val="2"/>
          </rPr>
          <t xml:space="preserve">RC LACE should send a bill to Meteo-France for this amount
</t>
        </r>
      </text>
    </comment>
    <comment ref="K21" authorId="0">
      <text>
        <r>
          <rPr>
            <sz val="8"/>
            <color rgb="FF000000"/>
            <rFont val="Segoe UI"/>
            <family val="2"/>
          </rPr>
          <t xml:space="preserve">Each colleague will send a bill for his/her stay to RC LACE seperately =&gt; please see also the worksheet "ALADIN-FR (neutral)"</t>
        </r>
      </text>
    </comment>
    <comment ref="K23" authorId="0">
      <text>
        <r>
          <rPr>
            <sz val="9"/>
            <color rgb="FF000000"/>
            <rFont val="Tahoma"/>
            <family val="2"/>
          </rPr>
          <t xml:space="preserve">RC LACE will receive a bill from Belgium for the CA for 16.000,- (7*2000,- for LACE-countrys and 2000,- for MF)</t>
        </r>
      </text>
    </comment>
    <comment ref="K24" authorId="0">
      <text>
        <r>
          <rPr>
            <sz val="9"/>
            <color rgb="FF000000"/>
            <rFont val="Tahoma"/>
            <family val="2"/>
          </rPr>
          <t xml:space="preserve">RC LACE will receive a bill from Portugal for the DA coordinator for 6.400,- (7*800,- for LACE-countrys and 800,- for MF)</t>
        </r>
      </text>
    </comment>
    <comment ref="L22" authorId="0">
      <text>
        <r>
          <rPr>
            <sz val="11"/>
            <color rgb="FF000000"/>
            <rFont val="Calibri"/>
            <family val="2"/>
          </rPr>
          <t xml:space="preserve">HIRLAM contribution for the AHWS in Ljubljana</t>
        </r>
      </text>
    </comment>
    <comment ref="M23" authorId="0">
      <text>
        <r>
          <rPr>
            <sz val="9"/>
            <color rgb="FF000000"/>
            <rFont val="Tahoma"/>
            <family val="2"/>
          </rPr>
          <t xml:space="preserve">7*2000,- for LACE-countries
</t>
        </r>
      </text>
    </comment>
    <comment ref="M24" authorId="0">
      <text>
        <r>
          <rPr>
            <sz val="9"/>
            <color rgb="FF000000"/>
            <rFont val="Tahoma"/>
            <family val="2"/>
          </rPr>
          <t xml:space="preserve">7*800,- for LACE-countries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/>
  </authors>
  <commentList>
    <comment ref="J5" authorId="0">
      <text>
        <r>
          <rPr>
            <sz val="9"/>
            <color rgb="FF000000"/>
            <rFont val="Tahoma"/>
            <family val="2"/>
          </rPr>
          <t xml:space="preserve">ALADIN Meetings (LTM, CSSI, PAC) and
LACE contribution for: *ALADIN-HIRLAM Workshop 
*Code Architect
*DA Coordinator</t>
        </r>
      </text>
    </comment>
    <comment ref="J14" authorId="0">
      <text>
        <r>
          <rPr>
            <sz val="9"/>
            <color rgb="FF000000"/>
            <rFont val="Tahoma"/>
            <family val="2"/>
          </rPr>
          <t xml:space="preserve">ALADIN Meetings (LTM, CSSI, PAC) and
LACE contribution for: *ALADIN-HIRLAM Workshop 
*Code Architect
*DA Coordinator
</t>
        </r>
      </text>
    </comment>
    <comment ref="J26" authorId="0">
      <text>
        <r>
          <rPr>
            <sz val="9"/>
            <color rgb="FF000000"/>
            <rFont val="Tahoma"/>
            <family val="2"/>
          </rPr>
          <t xml:space="preserve">ALADIN Meetings (LTM, CSSI, PAC) and
LACE contribution for: *ALADIN-HIRLAM Workshop 
*Code Architect
*DA Coordinator</t>
        </r>
      </text>
    </comment>
  </commentList>
</comments>
</file>

<file path=xl/sharedStrings.xml><?xml version="1.0" encoding="utf-8"?>
<sst xmlns="http://schemas.openxmlformats.org/spreadsheetml/2006/main" count="1006" uniqueCount="291">
  <si>
    <t xml:space="preserve">Budget contributions </t>
  </si>
  <si>
    <t xml:space="preserve">Year 2018 (Council approved)</t>
  </si>
  <si>
    <t xml:space="preserve">Member</t>
  </si>
  <si>
    <t xml:space="preserve">%</t>
  </si>
  <si>
    <t xml:space="preserve">Amount</t>
  </si>
  <si>
    <t xml:space="preserve">corrected to flat-rate</t>
  </si>
  <si>
    <t xml:space="preserve">Austria</t>
  </si>
  <si>
    <t xml:space="preserve">Croatia</t>
  </si>
  <si>
    <t xml:space="preserve">¹</t>
  </si>
  <si>
    <t xml:space="preserve">Czech Republic</t>
  </si>
  <si>
    <t xml:space="preserve">Hungary</t>
  </si>
  <si>
    <t xml:space="preserve">Romania</t>
  </si>
  <si>
    <t xml:space="preserve">Slovakia</t>
  </si>
  <si>
    <t xml:space="preserve">Slovenia</t>
  </si>
  <si>
    <t xml:space="preserve">Total</t>
  </si>
  <si>
    <t xml:space="preserve">¹ ALADIN Flat-Rate</t>
  </si>
  <si>
    <r>
      <rPr>
        <sz val="11"/>
        <color rgb="FF000000"/>
        <rFont val="Calibri"/>
        <family val="2"/>
      </rPr>
      <t xml:space="preserve">At Budget 2020 ALADIN flate-rate rule should be applied (Flat-rate for 2019 is 12000</t>
    </r>
    <r>
      <rPr>
        <b val="true"/>
        <sz val="11"/>
        <color rgb="FF000000"/>
        <rFont val="Calibri"/>
        <family val="2"/>
      </rPr>
      <t xml:space="preserve"> €</t>
    </r>
    <r>
      <rPr>
        <sz val="11"/>
        <color rgb="FF000000"/>
        <rFont val="Calibri"/>
        <family val="2"/>
      </rPr>
      <t xml:space="preserve">)</t>
    </r>
  </si>
  <si>
    <t xml:space="preserve">Other contributions (neutral categories)</t>
  </si>
  <si>
    <t xml:space="preserve">Some of the numbers are from 2019</t>
  </si>
  <si>
    <t xml:space="preserve">Source*</t>
  </si>
  <si>
    <t xml:space="preserve">MF pays to LACE</t>
  </si>
  <si>
    <t xml:space="preserve"> LACE pays  to …</t>
  </si>
  <si>
    <t xml:space="preserve">HIRLAM pays LACE</t>
  </si>
  <si>
    <t xml:space="preserve">LACE expenses</t>
  </si>
  <si>
    <r>
      <rPr>
        <b val="true"/>
        <sz val="11"/>
        <color rgb="FF000000"/>
        <rFont val="Calibri"/>
        <family val="2"/>
      </rPr>
      <t xml:space="preserve">ALADIN Flat-Rate stays</t>
    </r>
    <r>
      <rPr>
        <b val="true"/>
        <vertAlign val="superscript"/>
        <sz val="11"/>
        <color rgb="FF000000"/>
        <rFont val="Calibri"/>
        <family val="2"/>
      </rPr>
      <t xml:space="preserve">1</t>
    </r>
  </si>
  <si>
    <t xml:space="preserve">(neutral)</t>
  </si>
  <si>
    <r>
      <rPr>
        <b val="true"/>
        <sz val="11"/>
        <color rgb="FF000000"/>
        <rFont val="Calibri"/>
        <family val="2"/>
      </rPr>
      <t xml:space="preserve">Contribution ALADIN / HIRLAM - Workshop</t>
    </r>
    <r>
      <rPr>
        <b val="true"/>
        <vertAlign val="superscript"/>
        <sz val="11"/>
        <color rgb="FF000000"/>
        <rFont val="Calibri"/>
        <family val="2"/>
      </rPr>
      <t xml:space="preserve">2</t>
    </r>
  </si>
  <si>
    <r>
      <rPr>
        <b val="true"/>
        <sz val="11"/>
        <rFont val="Calibri"/>
        <family val="2"/>
      </rPr>
      <t xml:space="preserve">Contribution for the mobility of the Code Architect</t>
    </r>
    <r>
      <rPr>
        <b val="true"/>
        <vertAlign val="superscript"/>
        <sz val="11"/>
        <rFont val="Calibri"/>
        <family val="2"/>
      </rPr>
      <t xml:space="preserve">3</t>
    </r>
  </si>
  <si>
    <r>
      <rPr>
        <b val="true"/>
        <sz val="11"/>
        <rFont val="Calibri"/>
        <family val="2"/>
      </rPr>
      <t xml:space="preserve">Contribution for the Data Assimilation Coordinator </t>
    </r>
    <r>
      <rPr>
        <b val="true"/>
        <vertAlign val="superscript"/>
        <sz val="11"/>
        <rFont val="Calibri"/>
        <family val="2"/>
      </rPr>
      <t xml:space="preserve">4</t>
    </r>
  </si>
  <si>
    <t xml:space="preserve">Remarks</t>
  </si>
  <si>
    <t xml:space="preserve">* all payments according to the yearly ALADIN-"Flat-rate contribution management" - Document</t>
  </si>
  <si>
    <r>
      <rPr>
        <vertAlign val="superscript"/>
        <sz val="11"/>
        <color rgb="FF000000"/>
        <rFont val="Calibri"/>
        <family val="2"/>
      </rPr>
      <t xml:space="preserve">1</t>
    </r>
    <r>
      <rPr>
        <sz val="11"/>
        <color rgb="FF000000"/>
        <rFont val="Calibri"/>
        <family val="2"/>
      </rPr>
      <t xml:space="preserve"> ALADIN Flat-Rate stays - is a neutral category, MF dedicates the funds that LACE pays to scientists for mission at the same amount</t>
    </r>
  </si>
  <si>
    <t xml:space="preserve">2 Contribution to the ALADIN-HIRLAM workshop – 2020 (6000,- paid through LACE budget)</t>
  </si>
  <si>
    <r>
      <rPr>
        <vertAlign val="superscript"/>
        <sz val="11"/>
        <rFont val="Calibri"/>
        <family val="2"/>
      </rPr>
      <t xml:space="preserve">3</t>
    </r>
    <r>
      <rPr>
        <sz val="11"/>
        <rFont val="Calibri"/>
        <family val="2"/>
      </rPr>
      <t xml:space="preserve"> Contribution to the mobility for the Code Architect - RC LACE pays for RC LACE partners and MF (and would get in compensation the sum corresponding to MF contribution) </t>
    </r>
  </si>
  <si>
    <r>
      <rPr>
        <vertAlign val="superscript"/>
        <sz val="11"/>
        <rFont val="Calibri"/>
        <family val="2"/>
      </rPr>
      <t xml:space="preserve">4</t>
    </r>
    <r>
      <rPr>
        <sz val="11"/>
        <rFont val="Calibri"/>
        <family val="2"/>
      </rPr>
      <t xml:space="preserve"> Contribution for the Data Assimilation Coordinator - RC LACE pays for RC LACE partners and MF (and would get in compensation the sum corresponding to MF contribution) </t>
    </r>
  </si>
  <si>
    <t xml:space="preserve">Total (incl. neutral categories)</t>
  </si>
  <si>
    <t xml:space="preserve">Budget 2020</t>
  </si>
  <si>
    <t xml:space="preserve">Budget contributions</t>
  </si>
  <si>
    <t xml:space="preserve">Other contributions</t>
  </si>
  <si>
    <r>
      <rPr>
        <b val="true"/>
        <sz val="11"/>
        <color rgb="FF000000"/>
        <rFont val="Calibri"/>
        <family val="2"/>
      </rPr>
      <t xml:space="preserve">Budget Plan 2020 </t>
    </r>
    <r>
      <rPr>
        <b val="true"/>
        <sz val="11"/>
        <color rgb="FF0070C0"/>
        <rFont val="Calibri"/>
        <family val="2"/>
      </rPr>
      <t xml:space="preserve">(with updates during the ongoing year)</t>
    </r>
  </si>
  <si>
    <t xml:space="preserve">PM</t>
  </si>
  <si>
    <t xml:space="preserve">AL Dynamics</t>
  </si>
  <si>
    <t xml:space="preserve">AL Physics</t>
  </si>
  <si>
    <t xml:space="preserve">AL Data Assimilation</t>
  </si>
  <si>
    <t xml:space="preserve">AL EPS</t>
  </si>
  <si>
    <t xml:space="preserve">Data Manager</t>
  </si>
  <si>
    <t xml:space="preserve">System Coordinator</t>
  </si>
  <si>
    <t xml:space="preserve">ALADIN</t>
  </si>
  <si>
    <t xml:space="preserve">Staff Costs</t>
  </si>
  <si>
    <t xml:space="preserve">Currently CA and DAC in management and networking?</t>
  </si>
  <si>
    <t xml:space="preserve">Management &amp; Networking</t>
  </si>
  <si>
    <t xml:space="preserve">ALADIN flat rate not yet defined </t>
  </si>
  <si>
    <t xml:space="preserve">Research &amp; Development Stays</t>
  </si>
  <si>
    <t xml:space="preserve">Meetings &amp; Events</t>
  </si>
  <si>
    <t xml:space="preserve">TRAININGS, working days!</t>
  </si>
  <si>
    <t xml:space="preserve">Miscellaneous</t>
  </si>
  <si>
    <t xml:space="preserve">Expenditures 2020</t>
  </si>
  <si>
    <t xml:space="preserve">Budget Plan 2020 (to be approved by RC LACE Council)</t>
  </si>
  <si>
    <t xml:space="preserve">Budget Plan 2019 - Program Manager</t>
  </si>
  <si>
    <t xml:space="preserve">Colleague 1</t>
  </si>
  <si>
    <t xml:space="preserve">Colleague 2</t>
  </si>
  <si>
    <t xml:space="preserve">Colleague 3</t>
  </si>
  <si>
    <t xml:space="preserve">Colleague 4</t>
  </si>
  <si>
    <t xml:space="preserve">Colleague 5</t>
  </si>
  <si>
    <t xml:space="preserve">Colleague 6</t>
  </si>
  <si>
    <t xml:space="preserve">Colleague 7</t>
  </si>
  <si>
    <t xml:space="preserve">Colleague 8</t>
  </si>
  <si>
    <t xml:space="preserve">Colleague 9</t>
  </si>
  <si>
    <t xml:space="preserve">Colleague 10</t>
  </si>
  <si>
    <t xml:space="preserve">LACE admin</t>
  </si>
  <si>
    <t xml:space="preserve">climate focal point</t>
  </si>
  <si>
    <t xml:space="preserve">LSC-chair</t>
  </si>
  <si>
    <t xml:space="preserve">Training</t>
  </si>
  <si>
    <t xml:space="preserve">Name</t>
  </si>
  <si>
    <t xml:space="preserve">Planned Item</t>
  </si>
  <si>
    <t xml:space="preserve">Description</t>
  </si>
  <si>
    <t xml:space="preserve">Budget Line</t>
  </si>
  <si>
    <t xml:space="preserve">Colleague</t>
  </si>
  <si>
    <t xml:space="preserve">Planned Budget</t>
  </si>
  <si>
    <t xml:space="preserve">PM supplement</t>
  </si>
  <si>
    <t xml:space="preserve">2.600 € quarterly</t>
  </si>
  <si>
    <t xml:space="preserve">Staff costs</t>
  </si>
  <si>
    <t xml:space="preserve">Management Missions</t>
  </si>
  <si>
    <t xml:space="preserve">LSC Meeting - Spring</t>
  </si>
  <si>
    <t xml:space="preserve">Management</t>
  </si>
  <si>
    <t xml:space="preserve">! including the common consortium strategy meeting Toulouse 3-5 Feb 2020, 6Feb JFG Symposium optional</t>
  </si>
  <si>
    <t xml:space="preserve">LSC Meeting - Autumn</t>
  </si>
  <si>
    <t xml:space="preserve">MG-Meeting</t>
  </si>
  <si>
    <t xml:space="preserve">ALADIN/HIRLAM Workshop - Spring</t>
  </si>
  <si>
    <t xml:space="preserve">EWGLAM/SRNWP Meeting - Autumn</t>
  </si>
  <si>
    <t xml:space="preserve">ALADIN GA/LACE Council – 2020</t>
  </si>
  <si>
    <t xml:space="preserve">Research and development stays</t>
  </si>
  <si>
    <t xml:space="preserve">Training on data assimilation code developments</t>
  </si>
  <si>
    <t xml:space="preserve">Research stays</t>
  </si>
  <si>
    <t xml:space="preserve">Participation on Workshop / Meeting</t>
  </si>
  <si>
    <t xml:space="preserve">Meetings &amp; events</t>
  </si>
  <si>
    <t xml:space="preserve">  </t>
  </si>
  <si>
    <t xml:space="preserve">¹ 1 month R&amp;D is based on 2.440 €</t>
  </si>
  <si>
    <t xml:space="preserve">status of the actions: </t>
  </si>
  <si>
    <t xml:space="preserve">executed actions</t>
  </si>
  <si>
    <t xml:space="preserve">unexecuted actions </t>
  </si>
  <si>
    <t xml:space="preserve">Expenditures 2019 - Program Manager</t>
  </si>
  <si>
    <t xml:space="preserve">PM 1</t>
  </si>
  <si>
    <t xml:space="preserve">PM 2</t>
  </si>
  <si>
    <t xml:space="preserve">Martina Tudor</t>
  </si>
  <si>
    <t xml:space="preserve">Item</t>
  </si>
  <si>
    <t xml:space="preserve">Issued on</t>
  </si>
  <si>
    <t xml:space="preserve">Scan</t>
  </si>
  <si>
    <t xml:space="preserve">sent to President</t>
  </si>
  <si>
    <t xml:space="preserve">Visa President</t>
  </si>
  <si>
    <t xml:space="preserve">Distribution</t>
  </si>
  <si>
    <t xml:space="preserve">Report</t>
  </si>
  <si>
    <t xml:space="preserve">Budget Plan 2019 - AL Dynamics &amp; coupling</t>
  </si>
  <si>
    <t xml:space="preserve">Petra Smolikova (CZ)</t>
  </si>
  <si>
    <t xml:space="preserve">Jozef Vivoda (CZ)</t>
  </si>
  <si>
    <t xml:space="preserve">Mario Hrastinski</t>
  </si>
  <si>
    <t xml:space="preserve">Alexandra Craciun (RO)</t>
  </si>
  <si>
    <t xml:space="preserve">AL supplement</t>
  </si>
  <si>
    <t xml:space="preserve">1950 € quarterly</t>
  </si>
  <si>
    <t xml:space="preserve">Iterative time scheme + Vert. Vel. Var.</t>
  </si>
  <si>
    <t xml:space="preserve">1 month at CHMI</t>
  </si>
  <si>
    <t xml:space="preserve">Horizontal diffusion</t>
  </si>
  <si>
    <t xml:space="preserve">1.5 month at CHMI</t>
  </si>
  <si>
    <t xml:space="preserve">Time scheme - trajectory search</t>
  </si>
  <si>
    <t xml:space="preserve">ALADIN-HIRLAM Workshop, LSCs, EWGLAM/SRNWP, MG Meeting</t>
  </si>
  <si>
    <t xml:space="preserve">Expenditures 2019 - AL Dynamics &amp; coupling</t>
  </si>
  <si>
    <t xml:space="preserve">Viktoria Homonnai (HU)</t>
  </si>
  <si>
    <t xml:space="preserve">Visa PM</t>
  </si>
  <si>
    <t xml:space="preserve">Budget Plan 2019 - AL Physics</t>
  </si>
  <si>
    <t xml:space="preserve">Area Leader</t>
  </si>
  <si>
    <t xml:space="preserve">Mario Hrastinski (CRO)</t>
  </si>
  <si>
    <t xml:space="preserve">Peter Smerkol (SLO)</t>
  </si>
  <si>
    <t xml:space="preserve">Christoph Wittmann (AT)</t>
  </si>
  <si>
    <t xml:space="preserve">Suzana Panežić (CRO)</t>
  </si>
  <si>
    <t xml:space="preserve">Martin Dian (SK)</t>
  </si>
  <si>
    <t xml:space="preserve">Jan Masek (CZ)</t>
  </si>
  <si>
    <t xml:space="preserve">TOUCANS - mixing lenght</t>
  </si>
  <si>
    <t xml:space="preserve">1 month CHMI, Prague</t>
  </si>
  <si>
    <t xml:space="preserve">TOUCANS -  reorganization</t>
  </si>
  <si>
    <t xml:space="preserve">0,5 month CHMI, Prague</t>
  </si>
  <si>
    <t xml:space="preserve">Microphysics – LIMA scheme</t>
  </si>
  <si>
    <t xml:space="preserve">1 month MF, Toulouse</t>
  </si>
  <si>
    <t xml:space="preserve">?</t>
  </si>
  <si>
    <t xml:space="preserve">screen lever interp in SURFEX</t>
  </si>
  <si>
    <t xml:space="preserve">1 month, CHMI, Prague</t>
  </si>
  <si>
    <t xml:space="preserve">ALARO coupled with SURFEX -</t>
  </si>
  <si>
    <t xml:space="preserve">MUSC training/WD</t>
  </si>
  <si>
    <t xml:space="preserve">For 6 people</t>
  </si>
  <si>
    <t xml:space="preserve">! postponed from 2019</t>
  </si>
  <si>
    <t xml:space="preserve">new diagnostic fields</t>
  </si>
  <si>
    <t xml:space="preserve">0.5 months in Ljubljana</t>
  </si>
  <si>
    <t xml:space="preserve">? ALADIN-HIRLAM Cloud workshop</t>
  </si>
  <si>
    <t xml:space="preserve">2 participants</t>
  </si>
  <si>
    <t xml:space="preserve">? HIRLAM/ALADIN/LACE/SURFEX surface working days</t>
  </si>
  <si>
    <t xml:space="preserve">? Participant</t>
  </si>
  <si>
    <t xml:space="preserve">Expenditures 2019 - AL Physics</t>
  </si>
  <si>
    <t xml:space="preserve">Neva Pristov (SLO)</t>
  </si>
  <si>
    <t xml:space="preserve">Jure Cedilnik (SLO)</t>
  </si>
  <si>
    <t xml:space="preserve">David Lancz (HU)</t>
  </si>
  <si>
    <t xml:space="preserve">Budget Plan 2019  - AL Data Assimilation</t>
  </si>
  <si>
    <t xml:space="preserve">Area Leader DA</t>
  </si>
  <si>
    <t xml:space="preserve">Martin Imrišek (SK)</t>
  </si>
  <si>
    <t xml:space="preserve">Katarina Catlosova (SK)</t>
  </si>
  <si>
    <t xml:space="preserve">Alina Dumitru (RO)</t>
  </si>
  <si>
    <t xml:space="preserve">Aniko Varkony (HU)</t>
  </si>
  <si>
    <t xml:space="preserve">Viktor Tarjanki (SK)</t>
  </si>
  <si>
    <t xml:space="preserve">Michal Nestiak (SK)</t>
  </si>
  <si>
    <t xml:space="preserve">Florian Meier (AT)</t>
  </si>
  <si>
    <t xml:space="preserve">GNSS data assimilation</t>
  </si>
  <si>
    <t xml:space="preserve">VarBC for Mode-S assimilation</t>
  </si>
  <si>
    <t xml:space="preserve">1 month in Prague</t>
  </si>
  <si>
    <t xml:space="preserve">Radar data assimilation</t>
  </si>
  <si>
    <t xml:space="preserve">EKF in SURFEX</t>
  </si>
  <si>
    <t xml:space="preserve">postponed from 2018</t>
  </si>
  <si>
    <t xml:space="preserve">Hourly RUC</t>
  </si>
  <si>
    <t xml:space="preserve">1 month in Ljubljana</t>
  </si>
  <si>
    <t xml:space="preserve">LACE DA Working Days 2018</t>
  </si>
  <si>
    <t xml:space="preserve">7 participants, equivalent to 1.5 months</t>
  </si>
  <si>
    <t xml:space="preserve"> </t>
  </si>
  <si>
    <t xml:space="preserve">Expenditures 2019  - AL Data Assimilation</t>
  </si>
  <si>
    <t xml:space="preserve">Antonín Bučánek (CZ)</t>
  </si>
  <si>
    <t xml:space="preserve">Mate Mester (HU)</t>
  </si>
  <si>
    <t xml:space="preserve">Alena Trojakova (CZ)</t>
  </si>
  <si>
    <t xml:space="preserve">Budget Plan 2019 - AL EPS</t>
  </si>
  <si>
    <t xml:space="preserve">Martin Bellus (SK)</t>
  </si>
  <si>
    <t xml:space="preserve">Mihaly Szucs (HU)</t>
  </si>
  <si>
    <t xml:space="preserve">Endi Keresturi (HR)</t>
  </si>
  <si>
    <t xml:space="preserve">Reka Suga (HU)</t>
  </si>
  <si>
    <t xml:space="preserve">Iris Odak Planković (HR)</t>
  </si>
  <si>
    <t xml:space="preserve">ALADIN-LAEF: Optimization</t>
  </si>
  <si>
    <t xml:space="preserve">1 month  at ZAMG</t>
  </si>
  <si>
    <t xml:space="preserve">postponed from 2019</t>
  </si>
  <si>
    <t xml:space="preserve">ALADIN-LAEF: maintenance</t>
  </si>
  <si>
    <t xml:space="preserve">AROME-EPS: conv. Perm.</t>
  </si>
  <si>
    <t xml:space="preserve">LAEF verification package </t>
  </si>
  <si>
    <t xml:space="preserve">1 month  at SHMU</t>
  </si>
  <si>
    <t xml:space="preserve">EPS-related workshop or conference</t>
  </si>
  <si>
    <t xml:space="preserve">To be defined</t>
  </si>
  <si>
    <t xml:space="preserve">Expenditures 2019 - AL Predictability</t>
  </si>
  <si>
    <t xml:space="preserve">Iris Odak Plenkovic (HR)</t>
  </si>
  <si>
    <t xml:space="preserve">Budget Plan 2019 - Data Manager</t>
  </si>
  <si>
    <t xml:space="preserve">DM supplement</t>
  </si>
  <si>
    <t xml:space="preserve">1300 € quarterly</t>
  </si>
  <si>
    <t xml:space="preserve">ODB support</t>
  </si>
  <si>
    <t xml:space="preserve">OPLACE maintenance stay¹ (0.5 month, HMS, Budapest)</t>
  </si>
  <si>
    <t xml:space="preserve">Common verification and technical actions</t>
  </si>
  <si>
    <t xml:space="preserve">COPE (coordination and working meetings)</t>
  </si>
  <si>
    <t xml:space="preserve">Expenditures 2019 - Data Manager</t>
  </si>
  <si>
    <t xml:space="preserve">Budget Plan 2019 - System Coordinator</t>
  </si>
  <si>
    <t xml:space="preserve">Oldrich Spaniel (SK)</t>
  </si>
  <si>
    <t xml:space="preserve">SC supplement</t>
  </si>
  <si>
    <t xml:space="preserve">Verification actions, Phasing 1 month</t>
  </si>
  <si>
    <t xml:space="preserve">Expenditures 2019 - System Coordinator</t>
  </si>
  <si>
    <t xml:space="preserve">Budget Plan 2019 - ALADIN</t>
  </si>
  <si>
    <t xml:space="preserve">LSC CC strategy</t>
  </si>
  <si>
    <t xml:space="preserve">LTM</t>
  </si>
  <si>
    <t xml:space="preserve">CSSI</t>
  </si>
  <si>
    <t xml:space="preserve">PAC</t>
  </si>
  <si>
    <t xml:space="preserve">ALADIN-HIRLAM WS</t>
  </si>
  <si>
    <t xml:space="preserve">Code-Architect</t>
  </si>
  <si>
    <t xml:space="preserve">DA Coordinator</t>
  </si>
  <si>
    <t xml:space="preserve">LTM, AT (Christoph Wittmann)</t>
  </si>
  <si>
    <t xml:space="preserve">Joint 30th ALADIN Wk &amp; HIRLAM ASM 2020, 31Mar-4 April 2020, Ljubljana, Slovenia</t>
  </si>
  <si>
    <r>
      <rPr>
        <sz val="11"/>
        <color rgb="FF000000"/>
        <rFont val="Calibri"/>
        <family val="2"/>
      </rPr>
      <t xml:space="preserve">42</t>
    </r>
    <r>
      <rPr>
        <vertAlign val="superscript"/>
        <sz val="11"/>
        <color rgb="FF000000"/>
        <rFont val="Calibri"/>
        <family val="2"/>
      </rPr>
      <t xml:space="preserve">nd</t>
    </r>
    <r>
      <rPr>
        <sz val="11"/>
        <color rgb="FF000000"/>
        <rFont val="Calibri"/>
        <family val="2"/>
      </rPr>
      <t xml:space="preserve">  EWGLAM and 27</t>
    </r>
    <r>
      <rPr>
        <vertAlign val="superscript"/>
        <sz val="11"/>
        <color rgb="FF000000"/>
        <rFont val="Calibri"/>
        <family val="2"/>
      </rPr>
      <t xml:space="preserve">th</t>
    </r>
    <r>
      <rPr>
        <sz val="11"/>
        <color rgb="FF000000"/>
        <rFont val="Calibri"/>
        <family val="2"/>
      </rPr>
      <t xml:space="preserve"> SRNWP meeting, 2020</t>
    </r>
  </si>
  <si>
    <t xml:space="preserve">LTM, SLO (Neva Pristov)</t>
  </si>
  <si>
    <t xml:space="preserve">LTM, CRO (Alica Bajic)</t>
  </si>
  <si>
    <t xml:space="preserve">LTM, SK (Jozef Vivoda)</t>
  </si>
  <si>
    <t xml:space="preserve">LTM, HU (Gabriella Szepszo)</t>
  </si>
  <si>
    <t xml:space="preserve">LTM, RO (Simona Tascu)</t>
  </si>
  <si>
    <t xml:space="preserve">LTM, CZ (Radmila Brozkova)</t>
  </si>
  <si>
    <t xml:space="preserve">CSSI (Christoph Zingerle)</t>
  </si>
  <si>
    <t xml:space="preserve">CSSI (Clemens Wastl)</t>
  </si>
  <si>
    <t xml:space="preserve">PAC (Jure Cedilnik)</t>
  </si>
  <si>
    <t xml:space="preserve">2 meetings (May, October)</t>
  </si>
  <si>
    <t xml:space="preserve">PAC (Radmila Brozkova) </t>
  </si>
  <si>
    <t xml:space="preserve">PAC (Branka Ivancan-Picek) - LACE representative</t>
  </si>
  <si>
    <t xml:space="preserve">PAC (LACE PM)</t>
  </si>
  <si>
    <t xml:space="preserve">LSC, AT (Christoph Wittmann)</t>
  </si>
  <si>
    <t xml:space="preserve">Common consortium strategy meeting</t>
  </si>
  <si>
    <t xml:space="preserve">LSC, SLO (Jure Cedilnik)</t>
  </si>
  <si>
    <t xml:space="preserve">LSC, CRO (Mario Hrastinski)</t>
  </si>
  <si>
    <t xml:space="preserve">LSC, SK (Jozef Vivoda)</t>
  </si>
  <si>
    <t xml:space="preserve">LSC, HU (Gabriella Szepszo)</t>
  </si>
  <si>
    <t xml:space="preserve">LSC, RO (Simona Tascu)</t>
  </si>
  <si>
    <t xml:space="preserve">LSC, CZ (Radmila Brozkova)</t>
  </si>
  <si>
    <t xml:space="preserve">CCWG meetings</t>
  </si>
  <si>
    <t xml:space="preserve">Common consortium working group and strategy meetings</t>
  </si>
  <si>
    <t xml:space="preserve">LACE contribution for the ALADIN-HIRLAM Workshop</t>
  </si>
  <si>
    <t xml:space="preserve">LACE contribution for Code-Architect</t>
  </si>
  <si>
    <t xml:space="preserve">€ 2000/LACE-partner</t>
  </si>
  <si>
    <t xml:space="preserve">LACE contribution for DA Coordinator</t>
  </si>
  <si>
    <t xml:space="preserve">€ 800/LACE-partner   (decided at ALADIN-GA in November 2017 in Cracov)</t>
  </si>
  <si>
    <t xml:space="preserve">Expenditures 2019 - ALADIN</t>
  </si>
  <si>
    <t xml:space="preserve">Budget Plan 2019 - ALADIN Flat-rate stays (neutral category)</t>
  </si>
  <si>
    <t xml:space="preserve">NAME</t>
  </si>
  <si>
    <t xml:space="preserve">code architect</t>
  </si>
  <si>
    <t xml:space="preserve">data assimilation coordinator</t>
  </si>
  <si>
    <t xml:space="preserve">AHWS</t>
  </si>
  <si>
    <t xml:space="preserve">Meetings </t>
  </si>
  <si>
    <t xml:space="preserve">scientific stays</t>
  </si>
  <si>
    <t xml:space="preserve">!unknown until January 2020</t>
  </si>
  <si>
    <t xml:space="preserve">AHWS contribution</t>
  </si>
  <si>
    <t xml:space="preserve">AHWS contribution HIRLAM</t>
  </si>
  <si>
    <t xml:space="preserve">Expenditures 2019 ALADIN Flat-rate stays (neutral category)</t>
  </si>
  <si>
    <t xml:space="preserve">Number</t>
  </si>
  <si>
    <t xml:space="preserve">Person</t>
  </si>
  <si>
    <t xml:space="preserve">sum</t>
  </si>
  <si>
    <t xml:space="preserve">begin</t>
  </si>
  <si>
    <t xml:space="preserve">end</t>
  </si>
  <si>
    <t xml:space="preserve">reminder</t>
  </si>
  <si>
    <t xml:space="preserve">report received</t>
  </si>
  <si>
    <t xml:space="preserve">2017-2</t>
  </si>
  <si>
    <t xml:space="preserve">Simona Briceag</t>
  </si>
  <si>
    <t xml:space="preserve">Stay CHMI – Validation of unsaturated downdraft in ALARO-1</t>
  </si>
  <si>
    <t xml:space="preserve">25.4.</t>
  </si>
  <si>
    <t xml:space="preserve">2017-5</t>
  </si>
  <si>
    <t xml:space="preserve">Viktoria Hommonai</t>
  </si>
  <si>
    <t xml:space="preserve">Stay MF – Comparison of two ways of aerosol initializatiuon (from MOCAGE and C-IFS) in LIMA</t>
  </si>
  <si>
    <t xml:space="preserve">27.4.</t>
  </si>
  <si>
    <t xml:space="preserve">11.5.2018</t>
  </si>
  <si>
    <t xml:space="preserve">Martin Dian</t>
  </si>
  <si>
    <t xml:space="preserve">Stay CHMI – Checking SURFEX in ALARO</t>
  </si>
  <si>
    <t xml:space="preserve">4.5.2018.</t>
  </si>
  <si>
    <t xml:space="preserve">Mirela Pietrisi</t>
  </si>
  <si>
    <t xml:space="preserve">Stay ZAMG – Comparison of NWP based nowcasting (AROME) with classical system</t>
  </si>
  <si>
    <t xml:space="preserve">2017-3</t>
  </si>
  <si>
    <t xml:space="preserve">2017-1</t>
  </si>
  <si>
    <t xml:space="preserve">Wafa Khalfaoui</t>
  </si>
  <si>
    <t xml:space="preserve">Stay – Implementation and testing of the new observation in DA system</t>
  </si>
  <si>
    <t xml:space="preserve">30.4.2018.</t>
  </si>
  <si>
    <t xml:space="preserve">`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</si>
</sst>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#,##0"/>
    <numFmt numFmtId="167" formatCode="0"/>
    <numFmt numFmtId="168" formatCode="#,##0.00&quot; €&quot;"/>
    <numFmt numFmtId="169" formatCode="DD/MM/YYYY"/>
    <numFmt numFmtId="170" formatCode="@"/>
    <numFmt numFmtId="171" formatCode="DD/MM/YY"/>
    <numFmt numFmtId="172" formatCode="MMM\-YY"/>
  </numFmts>
  <fonts count="3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333333"/>
      <name val="Calibri"/>
      <family val="2"/>
    </font>
    <font>
      <i val="true"/>
      <sz val="10"/>
      <color rgb="FF808080"/>
      <name val="Calibri"/>
      <family val="2"/>
    </font>
    <font>
      <sz val="10"/>
      <color rgb="FF006600"/>
      <name val="Calibri"/>
      <family val="2"/>
    </font>
    <font>
      <sz val="10"/>
      <color rgb="FF996600"/>
      <name val="Calibri"/>
      <family val="2"/>
    </font>
    <font>
      <sz val="10"/>
      <color rgb="FFCC0000"/>
      <name val="Calibri"/>
      <family val="2"/>
    </font>
    <font>
      <b val="true"/>
      <sz val="10"/>
      <color rgb="FFFFFFFF"/>
      <name val="Calibri"/>
      <family val="2"/>
    </font>
    <font>
      <b val="true"/>
      <sz val="10"/>
      <color rgb="FF000000"/>
      <name val="Calibri"/>
      <family val="2"/>
    </font>
    <font>
      <sz val="10"/>
      <color rgb="FFFFFFFF"/>
      <name val="Calibri"/>
      <family val="2"/>
    </font>
    <font>
      <b val="true"/>
      <sz val="16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u val="single"/>
      <sz val="11"/>
      <color rgb="FF000000"/>
      <name val="Calibri"/>
      <family val="2"/>
    </font>
    <font>
      <sz val="8"/>
      <color rgb="FF000000"/>
      <name val="Calibri"/>
      <family val="2"/>
    </font>
    <font>
      <b val="true"/>
      <vertAlign val="superscript"/>
      <sz val="11"/>
      <color rgb="FF000000"/>
      <name val="Calibri"/>
      <family val="2"/>
    </font>
    <font>
      <sz val="11"/>
      <name val="Calibri"/>
      <family val="2"/>
    </font>
    <font>
      <b val="true"/>
      <sz val="11"/>
      <name val="Calibri"/>
      <family val="2"/>
    </font>
    <font>
      <b val="true"/>
      <vertAlign val="superscript"/>
      <sz val="11"/>
      <name val="Calibri"/>
      <family val="2"/>
    </font>
    <font>
      <vertAlign val="superscript"/>
      <sz val="11"/>
      <color rgb="FF000000"/>
      <name val="Calibri"/>
      <family val="2"/>
    </font>
    <font>
      <vertAlign val="superscript"/>
      <sz val="11"/>
      <name val="Calibri"/>
      <family val="2"/>
    </font>
    <font>
      <sz val="8"/>
      <color rgb="FF000000"/>
      <name val="Segoe UI"/>
      <family val="2"/>
    </font>
    <font>
      <sz val="9"/>
      <color rgb="FF000000"/>
      <name val="Tahoma"/>
      <family val="2"/>
    </font>
    <font>
      <b val="true"/>
      <sz val="11"/>
      <color rgb="FF0070C0"/>
      <name val="Calibri"/>
      <family val="2"/>
    </font>
    <font>
      <sz val="11"/>
      <color rgb="FF00A65D"/>
      <name val="Calibri"/>
      <family val="2"/>
    </font>
    <font>
      <sz val="11"/>
      <color rgb="FF0070C0"/>
      <name val="Calibri"/>
      <family val="2"/>
    </font>
    <font>
      <sz val="11"/>
      <color rgb="FF808080"/>
      <name val="Calibri"/>
      <family val="2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Tahoma"/>
      <family val="2"/>
    </font>
    <font>
      <sz val="11"/>
      <color rgb="FFE46C0A"/>
      <name val="Calibri"/>
      <family val="2"/>
    </font>
    <font>
      <sz val="12"/>
      <color rgb="FF0070C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F2F2F2"/>
      </patternFill>
    </fill>
    <fill>
      <patternFill patternType="solid">
        <fgColor rgb="FFFFCCCC"/>
        <bgColor rgb="FFFCD5B5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E6E0EC"/>
        <bgColor rgb="FFDDDDDD"/>
      </patternFill>
    </fill>
    <fill>
      <patternFill patternType="solid">
        <fgColor rgb="FFFCD5B5"/>
        <bgColor rgb="FFFFCCCC"/>
      </patternFill>
    </fill>
    <fill>
      <patternFill patternType="solid">
        <fgColor rgb="FFF2F2F2"/>
        <bgColor rgb="FFFFFFFF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69696"/>
      </patternFill>
    </fill>
    <fill>
      <patternFill patternType="solid">
        <fgColor rgb="FFD9D9D9"/>
        <bgColor rgb="FFDDDDDD"/>
      </patternFill>
    </fill>
    <fill>
      <patternFill patternType="solid">
        <fgColor rgb="FF00B050"/>
        <bgColor rgb="FF00A65D"/>
      </patternFill>
    </fill>
    <fill>
      <patternFill patternType="solid">
        <fgColor rgb="FFFF0000"/>
        <bgColor rgb="FFCC0000"/>
      </patternFill>
    </fill>
    <fill>
      <patternFill patternType="solid">
        <fgColor rgb="FFFFFFFF"/>
        <bgColor rgb="FFF2F2F2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9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1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1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2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1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1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1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1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3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2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31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32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2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1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12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22" fillId="16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7" fontId="32" fillId="0" borderId="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5" fontId="32" fillId="0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3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31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14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6" fillId="1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23" fillId="1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22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1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22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3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12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12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18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18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3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31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2" borderId="1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1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7" fillId="16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7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1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1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14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3" fillId="14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18" borderId="2" xfId="36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2" fillId="18" borderId="2" xfId="36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7" fontId="22" fillId="18" borderId="2" xfId="36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5" fontId="22" fillId="18" borderId="2" xfId="36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2" fillId="0" borderId="2" xfId="36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2" fillId="0" borderId="2" xfId="36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7" fontId="22" fillId="0" borderId="2" xfId="36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5" fontId="22" fillId="0" borderId="2" xfId="36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6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2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1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2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1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1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2" fillId="16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31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1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8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18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31" fillId="18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31" fillId="18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1" fillId="18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1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  <cellStyle name="Excel Built-in Explanatory Text" xfId="36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B050"/>
      <rgbColor rgb="FFDDDDDD"/>
      <rgbColor rgb="FF808080"/>
      <rgbColor rgb="FF9999FF"/>
      <rgbColor rgb="FF7030A0"/>
      <rgbColor rgb="FFFFFFCC"/>
      <rgbColor rgb="FFF2F2F2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CCFFCC"/>
      <rgbColor rgb="FFFFFF99"/>
      <rgbColor rgb="FF8EB4E3"/>
      <rgbColor rgb="FFFFCCCC"/>
      <rgbColor rgb="FFCC99FF"/>
      <rgbColor rgb="FFFCD5B5"/>
      <rgbColor rgb="FF3366FF"/>
      <rgbColor rgb="FF33CCCC"/>
      <rgbColor rgb="FF92D050"/>
      <rgbColor rgb="FFFFCC00"/>
      <rgbColor rgb="FFFF9900"/>
      <rgbColor rgb="FFE46C0A"/>
      <rgbColor rgb="FF666699"/>
      <rgbColor rgb="FF969696"/>
      <rgbColor rgb="FF003366"/>
      <rgbColor rgb="FF00A65D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F5" activeCellId="0" sqref="F5"/>
    </sheetView>
  </sheetViews>
  <sheetFormatPr defaultRowHeight="15" zeroHeight="false" outlineLevelRow="0" outlineLevelCol="0"/>
  <cols>
    <col collapsed="false" customWidth="true" hidden="false" outlineLevel="0" max="1" min="1" style="0" width="10.65"/>
    <col collapsed="false" customWidth="true" hidden="false" outlineLevel="0" max="2" min="2" style="0" width="16.29"/>
    <col collapsed="false" customWidth="true" hidden="false" outlineLevel="0" max="4" min="3" style="0" width="10.65"/>
    <col collapsed="false" customWidth="true" hidden="false" outlineLevel="0" max="5" min="5" style="0" width="1.12"/>
    <col collapsed="false" customWidth="true" hidden="false" outlineLevel="0" max="1025" min="6" style="0" width="10.65"/>
  </cols>
  <sheetData>
    <row r="1" customFormat="false" ht="21" hidden="false" customHeight="false" outlineLevel="0" collapsed="false">
      <c r="A1" s="1" t="s">
        <v>0</v>
      </c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</row>
    <row r="4" customFormat="false" ht="30" hidden="false" customHeight="false" outlineLevel="0" collapsed="false">
      <c r="A4" s="3"/>
      <c r="B4" s="4" t="s">
        <v>2</v>
      </c>
      <c r="C4" s="4" t="s">
        <v>3</v>
      </c>
      <c r="D4" s="5" t="s">
        <v>4</v>
      </c>
      <c r="E4" s="6"/>
      <c r="F4" s="4" t="s">
        <v>5</v>
      </c>
    </row>
    <row r="5" customFormat="false" ht="13.8" hidden="false" customHeight="false" outlineLevel="0" collapsed="false">
      <c r="B5" s="7" t="s">
        <v>6</v>
      </c>
      <c r="C5" s="8" t="n">
        <v>35.684007638994</v>
      </c>
      <c r="D5" s="8" t="n">
        <f aca="false">C5*1560</f>
        <v>55667.0519168306</v>
      </c>
      <c r="E5" s="9"/>
      <c r="F5" s="10" t="n">
        <f aca="false">MAX(D5,12250)</f>
        <v>55667.0519168306</v>
      </c>
      <c r="G5" s="11"/>
    </row>
    <row r="6" customFormat="false" ht="13.8" hidden="false" customHeight="false" outlineLevel="0" collapsed="false">
      <c r="B6" s="7" t="s">
        <v>7</v>
      </c>
      <c r="C6" s="8" t="n">
        <v>4.63164543184746</v>
      </c>
      <c r="D6" s="8" t="n">
        <f aca="false">C6*1560</f>
        <v>7225.36687368204</v>
      </c>
      <c r="E6" s="12" t="s">
        <v>8</v>
      </c>
      <c r="F6" s="10" t="n">
        <f aca="false">MAX(D6,12250)</f>
        <v>12250</v>
      </c>
      <c r="G6" s="11"/>
    </row>
    <row r="7" customFormat="false" ht="13.8" hidden="false" customHeight="false" outlineLevel="0" collapsed="false">
      <c r="B7" s="7" t="s">
        <v>9</v>
      </c>
      <c r="C7" s="8" t="n">
        <v>17.6289110312215</v>
      </c>
      <c r="D7" s="8" t="n">
        <f aca="false">C7*1560</f>
        <v>27501.1012087055</v>
      </c>
      <c r="E7" s="9"/>
      <c r="F7" s="10" t="n">
        <f aca="false">MAX(D7,12250)</f>
        <v>27501.1012087055</v>
      </c>
      <c r="G7" s="11"/>
    </row>
    <row r="8" customFormat="false" ht="13.8" hidden="false" customHeight="false" outlineLevel="0" collapsed="false">
      <c r="B8" s="7" t="s">
        <v>10</v>
      </c>
      <c r="C8" s="8" t="n">
        <v>11.6704298699125</v>
      </c>
      <c r="D8" s="8" t="n">
        <f aca="false">C8*1560</f>
        <v>18205.8705970635</v>
      </c>
      <c r="E8" s="9"/>
      <c r="F8" s="10" t="n">
        <f aca="false">MAX(D8,12250)</f>
        <v>18205.8705970635</v>
      </c>
      <c r="G8" s="13"/>
      <c r="H8" s="13"/>
    </row>
    <row r="9" customFormat="false" ht="13.8" hidden="false" customHeight="false" outlineLevel="0" collapsed="false">
      <c r="B9" s="7" t="s">
        <v>11</v>
      </c>
      <c r="C9" s="8" t="n">
        <v>18.0070010032109</v>
      </c>
      <c r="D9" s="8" t="n">
        <f aca="false">C9*1560</f>
        <v>28090.921565009</v>
      </c>
      <c r="E9" s="9"/>
      <c r="F9" s="10" t="n">
        <f aca="false">MAX(D9,12250)</f>
        <v>28090.921565009</v>
      </c>
      <c r="G9" s="13"/>
    </row>
    <row r="10" customFormat="false" ht="13.8" hidden="false" customHeight="false" outlineLevel="0" collapsed="false">
      <c r="B10" s="7" t="s">
        <v>12</v>
      </c>
      <c r="C10" s="8" t="n">
        <v>8.17339952791794</v>
      </c>
      <c r="D10" s="8" t="n">
        <f aca="false">C10*1560</f>
        <v>12750.503263552</v>
      </c>
      <c r="E10" s="9"/>
      <c r="F10" s="10" t="n">
        <f aca="false">MAX(D10,12250)</f>
        <v>12750.503263552</v>
      </c>
      <c r="G10" s="11"/>
    </row>
    <row r="11" customFormat="false" ht="13.8" hidden="false" customHeight="false" outlineLevel="0" collapsed="false">
      <c r="B11" s="14" t="s">
        <v>13</v>
      </c>
      <c r="C11" s="15" t="n">
        <v>4.20460549689566</v>
      </c>
      <c r="D11" s="8" t="n">
        <f aca="false">C11*1560</f>
        <v>6559.18457515723</v>
      </c>
      <c r="E11" s="16" t="s">
        <v>8</v>
      </c>
      <c r="F11" s="10" t="n">
        <f aca="false">MAX(D11,12250)</f>
        <v>12250</v>
      </c>
      <c r="G11" s="11"/>
    </row>
    <row r="12" customFormat="false" ht="15" hidden="false" customHeight="false" outlineLevel="0" collapsed="false">
      <c r="B12" s="17" t="s">
        <v>14</v>
      </c>
      <c r="C12" s="18" t="n">
        <v>100</v>
      </c>
      <c r="D12" s="19" t="n">
        <v>156000</v>
      </c>
      <c r="E12" s="20"/>
      <c r="F12" s="21" t="n">
        <f aca="false">SUM(F5:F11)</f>
        <v>166715.448551161</v>
      </c>
      <c r="H12" s="22"/>
    </row>
    <row r="13" customFormat="false" ht="15" hidden="false" customHeight="false" outlineLevel="0" collapsed="false">
      <c r="E13" s="23"/>
      <c r="F13" s="24"/>
    </row>
    <row r="14" customFormat="false" ht="15" hidden="false" customHeight="false" outlineLevel="0" collapsed="false">
      <c r="B14" s="25" t="s">
        <v>15</v>
      </c>
    </row>
    <row r="15" customFormat="false" ht="13.8" hidden="false" customHeight="false" outlineLevel="0" collapsed="false">
      <c r="B15" s="26" t="s">
        <v>16</v>
      </c>
    </row>
    <row r="18" customFormat="false" ht="21" hidden="false" customHeight="false" outlineLevel="0" collapsed="false">
      <c r="A18" s="1" t="s">
        <v>17</v>
      </c>
    </row>
    <row r="19" customFormat="false" ht="15" hidden="false" customHeight="false" outlineLevel="0" collapsed="false">
      <c r="H19" s="0" t="s">
        <v>18</v>
      </c>
    </row>
    <row r="20" customFormat="false" ht="15" hidden="false" customHeight="false" outlineLevel="0" collapsed="false">
      <c r="B20" s="27" t="s">
        <v>19</v>
      </c>
      <c r="C20" s="27"/>
      <c r="D20" s="27"/>
      <c r="E20" s="27"/>
      <c r="F20" s="27"/>
      <c r="G20" s="27"/>
      <c r="H20" s="27" t="n">
        <v>2020</v>
      </c>
      <c r="I20" s="28" t="s">
        <v>20</v>
      </c>
      <c r="J20" s="28"/>
      <c r="K20" s="28" t="s">
        <v>21</v>
      </c>
      <c r="L20" s="0" t="s">
        <v>22</v>
      </c>
      <c r="M20" s="29" t="s">
        <v>23</v>
      </c>
    </row>
    <row r="21" customFormat="false" ht="17.25" hidden="false" customHeight="false" outlineLevel="0" collapsed="false">
      <c r="B21" s="30" t="s">
        <v>24</v>
      </c>
      <c r="C21" s="30"/>
      <c r="D21" s="30"/>
      <c r="E21" s="30"/>
      <c r="F21" s="30"/>
      <c r="G21" s="30"/>
      <c r="H21" s="31" t="n">
        <v>13850</v>
      </c>
      <c r="I21" s="32" t="n">
        <v>13850</v>
      </c>
      <c r="J21" s="33" t="s">
        <v>25</v>
      </c>
      <c r="K21" s="32" t="n">
        <v>13850</v>
      </c>
      <c r="L21" s="32"/>
      <c r="M21" s="32" t="n">
        <v>0</v>
      </c>
      <c r="N21" s="34"/>
    </row>
    <row r="22" customFormat="false" ht="13.8" hidden="false" customHeight="false" outlineLevel="0" collapsed="false">
      <c r="B22" s="30" t="s">
        <v>26</v>
      </c>
      <c r="C22" s="30"/>
      <c r="D22" s="30"/>
      <c r="E22" s="30"/>
      <c r="F22" s="30"/>
      <c r="G22" s="30"/>
      <c r="H22" s="10"/>
      <c r="I22" s="32" t="n">
        <v>3375</v>
      </c>
      <c r="J22" s="32"/>
      <c r="K22" s="32" t="n">
        <v>12000</v>
      </c>
      <c r="L22" s="32" t="n">
        <v>6000</v>
      </c>
      <c r="M22" s="32" t="n">
        <v>2625</v>
      </c>
      <c r="N22" s="34"/>
    </row>
    <row r="23" customFormat="false" ht="17.25" hidden="false" customHeight="false" outlineLevel="0" collapsed="false">
      <c r="B23" s="35" t="s">
        <v>27</v>
      </c>
      <c r="C23" s="35"/>
      <c r="D23" s="35"/>
      <c r="E23" s="35"/>
      <c r="F23" s="35"/>
      <c r="G23" s="35"/>
      <c r="H23" s="36" t="n">
        <v>2000</v>
      </c>
      <c r="I23" s="37" t="n">
        <v>2000</v>
      </c>
      <c r="J23" s="38" t="s">
        <v>25</v>
      </c>
      <c r="K23" s="33" t="n">
        <v>16000</v>
      </c>
      <c r="L23" s="33"/>
      <c r="M23" s="33" t="n">
        <v>14000</v>
      </c>
      <c r="N23" s="34"/>
    </row>
    <row r="24" customFormat="false" ht="18" hidden="false" customHeight="false" outlineLevel="0" collapsed="false">
      <c r="B24" s="39" t="s">
        <v>28</v>
      </c>
      <c r="C24" s="39"/>
      <c r="D24" s="39"/>
      <c r="E24" s="39"/>
      <c r="F24" s="39"/>
      <c r="G24" s="39"/>
      <c r="H24" s="40" t="n">
        <v>800</v>
      </c>
      <c r="I24" s="37" t="n">
        <v>800</v>
      </c>
      <c r="J24" s="38" t="s">
        <v>25</v>
      </c>
      <c r="K24" s="33" t="n">
        <v>6400</v>
      </c>
      <c r="L24" s="33"/>
      <c r="M24" s="33" t="n">
        <v>5600</v>
      </c>
      <c r="N24" s="34"/>
    </row>
    <row r="25" customFormat="false" ht="15" hidden="false" customHeight="false" outlineLevel="0" collapsed="false">
      <c r="B25" s="41" t="s">
        <v>14</v>
      </c>
      <c r="C25" s="41"/>
      <c r="D25" s="41"/>
      <c r="E25" s="41"/>
      <c r="F25" s="41"/>
      <c r="G25" s="41"/>
      <c r="H25" s="42" t="n">
        <f aca="false">SUM(H21:H24)</f>
        <v>16650</v>
      </c>
      <c r="I25" s="43" t="n">
        <f aca="false">SUM(I21:I24)</f>
        <v>20025</v>
      </c>
      <c r="J25" s="43"/>
      <c r="K25" s="43"/>
      <c r="L25" s="43"/>
      <c r="M25" s="43"/>
    </row>
    <row r="26" customFormat="false" ht="15" hidden="false" customHeight="false" outlineLevel="0" collapsed="false">
      <c r="I26" s="13"/>
    </row>
    <row r="27" customFormat="false" ht="15" hidden="false" customHeight="false" outlineLevel="0" collapsed="false">
      <c r="B27" s="44" t="s">
        <v>29</v>
      </c>
    </row>
    <row r="28" customFormat="false" ht="15" hidden="false" customHeight="false" outlineLevel="0" collapsed="false">
      <c r="B28" s="26" t="s">
        <v>30</v>
      </c>
    </row>
    <row r="29" customFormat="false" ht="17.25" hidden="false" customHeight="false" outlineLevel="0" collapsed="false">
      <c r="B29" s="45" t="s">
        <v>31</v>
      </c>
    </row>
    <row r="30" customFormat="false" ht="13.8" hidden="false" customHeight="false" outlineLevel="0" collapsed="false">
      <c r="B30" s="46" t="s">
        <v>32</v>
      </c>
    </row>
    <row r="31" customFormat="false" ht="17.25" hidden="false" customHeight="false" outlineLevel="0" collapsed="false">
      <c r="B31" s="47" t="s">
        <v>33</v>
      </c>
    </row>
    <row r="32" customFormat="false" ht="17.25" hidden="false" customHeight="false" outlineLevel="0" collapsed="false">
      <c r="B32" s="47" t="s">
        <v>34</v>
      </c>
    </row>
    <row r="34" customFormat="false" ht="21" hidden="false" customHeight="false" outlineLevel="0" collapsed="false">
      <c r="A34" s="1" t="s">
        <v>35</v>
      </c>
    </row>
    <row r="36" customFormat="false" ht="15" hidden="false" customHeight="false" outlineLevel="0" collapsed="false">
      <c r="B36" s="27" t="s">
        <v>36</v>
      </c>
      <c r="C36" s="27"/>
      <c r="D36" s="27"/>
    </row>
    <row r="37" customFormat="false" ht="15" hidden="false" customHeight="false" outlineLevel="0" collapsed="false">
      <c r="B37" s="48" t="s">
        <v>37</v>
      </c>
      <c r="C37" s="49"/>
      <c r="D37" s="10" t="n">
        <f aca="false">F12</f>
        <v>166715.448551161</v>
      </c>
    </row>
    <row r="38" customFormat="false" ht="15.75" hidden="false" customHeight="false" outlineLevel="0" collapsed="false">
      <c r="B38" s="50" t="s">
        <v>38</v>
      </c>
      <c r="C38" s="51"/>
      <c r="D38" s="52" t="n">
        <f aca="false">H25</f>
        <v>16650</v>
      </c>
      <c r="F38" s="11"/>
    </row>
    <row r="39" customFormat="false" ht="15" hidden="false" customHeight="false" outlineLevel="0" collapsed="false">
      <c r="B39" s="53" t="s">
        <v>14</v>
      </c>
      <c r="C39" s="53"/>
      <c r="D39" s="42" t="n">
        <f aca="false">SUM(D37:D38)</f>
        <v>183365.448551161</v>
      </c>
    </row>
    <row r="42" customFormat="false" ht="21" hidden="false" customHeight="false" outlineLevel="0" collapsed="false"/>
  </sheetData>
  <mergeCells count="9">
    <mergeCell ref="B3:F3"/>
    <mergeCell ref="B20:G20"/>
    <mergeCell ref="B21:G21"/>
    <mergeCell ref="B22:G22"/>
    <mergeCell ref="B23:G23"/>
    <mergeCell ref="B24:G24"/>
    <mergeCell ref="B25:G25"/>
    <mergeCell ref="B36:D36"/>
    <mergeCell ref="B39:C39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9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30" activeCellId="0" sqref="B30"/>
    </sheetView>
  </sheetViews>
  <sheetFormatPr defaultRowHeight="15" zeroHeight="false" outlineLevelRow="0" outlineLevelCol="0"/>
  <cols>
    <col collapsed="false" customWidth="true" hidden="false" outlineLevel="0" max="1" min="1" style="0" width="32.42"/>
    <col collapsed="false" customWidth="true" hidden="false" outlineLevel="0" max="3" min="2" style="0" width="18.71"/>
    <col collapsed="false" customWidth="true" hidden="false" outlineLevel="0" max="4" min="4" style="0" width="19.85"/>
    <col collapsed="false" customWidth="true" hidden="false" outlineLevel="0" max="5" min="5" style="0" width="18.12"/>
    <col collapsed="false" customWidth="true" hidden="false" outlineLevel="0" max="6" min="6" style="0" width="18.71"/>
    <col collapsed="false" customWidth="true" hidden="false" outlineLevel="0" max="7" min="7" style="0" width="15.71"/>
    <col collapsed="false" customWidth="true" hidden="false" outlineLevel="0" max="8" min="8" style="0" width="20.86"/>
    <col collapsed="false" customWidth="true" hidden="false" outlineLevel="0" max="10" min="9" style="0" width="15.71"/>
    <col collapsed="false" customWidth="true" hidden="false" outlineLevel="0" max="15" min="11" style="0" width="15.29"/>
    <col collapsed="false" customWidth="true" hidden="false" outlineLevel="0" max="16" min="16" style="0" width="14.15"/>
    <col collapsed="false" customWidth="false" hidden="false" outlineLevel="0" max="1025" min="17" style="0" width="11.42"/>
  </cols>
  <sheetData>
    <row r="1" customFormat="false" ht="15" hidden="false" customHeight="false" outlineLevel="0" collapsed="false">
      <c r="G1" s="83"/>
      <c r="H1" s="83"/>
      <c r="I1" s="83"/>
      <c r="J1" s="83"/>
    </row>
    <row r="2" customFormat="false" ht="21" hidden="false" customHeight="false" outlineLevel="0" collapsed="false">
      <c r="A2" s="1" t="s">
        <v>213</v>
      </c>
    </row>
    <row r="3" customFormat="false" ht="15" hidden="false" customHeight="false" outlineLevel="0" collapsed="false">
      <c r="A3" s="84"/>
      <c r="B3" s="84" t="n">
        <v>1</v>
      </c>
      <c r="C3" s="84" t="n">
        <v>2</v>
      </c>
      <c r="D3" s="84" t="n">
        <v>3</v>
      </c>
      <c r="E3" s="84" t="n">
        <v>4</v>
      </c>
      <c r="F3" s="84" t="n">
        <v>5</v>
      </c>
      <c r="G3" s="84" t="n">
        <v>6</v>
      </c>
      <c r="H3" s="84" t="n">
        <v>7</v>
      </c>
      <c r="I3" s="84" t="n">
        <v>8</v>
      </c>
      <c r="J3" s="84" t="s">
        <v>14</v>
      </c>
    </row>
    <row r="4" customFormat="false" ht="15" hidden="false" customHeight="false" outlineLevel="0" collapsed="false">
      <c r="A4" s="85"/>
      <c r="B4" s="86" t="s">
        <v>214</v>
      </c>
      <c r="C4" s="86" t="s">
        <v>215</v>
      </c>
      <c r="D4" s="86" t="s">
        <v>216</v>
      </c>
      <c r="E4" s="86" t="s">
        <v>217</v>
      </c>
      <c r="F4" s="86" t="s">
        <v>218</v>
      </c>
      <c r="G4" s="86" t="s">
        <v>219</v>
      </c>
      <c r="H4" s="246" t="s">
        <v>220</v>
      </c>
      <c r="I4" s="246"/>
      <c r="J4" s="85"/>
    </row>
    <row r="5" customFormat="false" ht="15" hidden="false" customHeight="false" outlineLevel="0" collapsed="false">
      <c r="A5" s="60"/>
      <c r="B5" s="87" t="n">
        <f aca="false">SUMIFS($F13:$F47,$D13:$D47,"Staff costs",$E13:$E47,"1")</f>
        <v>0</v>
      </c>
      <c r="C5" s="87" t="n">
        <f aca="false">SUMIFS($F13:$F47,$D13:$D47,"Staff costs",$E13:$E47,"2")</f>
        <v>0</v>
      </c>
      <c r="D5" s="87" t="n">
        <f aca="false">SUMIFS($F13:$F47,$D13:$D47,"Staff costs",$E13:$E47,"3")</f>
        <v>0</v>
      </c>
      <c r="E5" s="87" t="n">
        <f aca="false">SUMIFS($F13:$F47,$D13:$D47,"Staff costs",$E13:$E47,"4")</f>
        <v>0</v>
      </c>
      <c r="F5" s="87" t="n">
        <f aca="false">SUMIFS($F13:$F47,$D13:$D47,"Staff costs",$E13:$E47,"5")</f>
        <v>0</v>
      </c>
      <c r="G5" s="87" t="n">
        <f aca="false">SUMIFS($F13:$F47,$D13:$D47,"Staff costs",$E13:$E47,"6")</f>
        <v>0</v>
      </c>
      <c r="H5" s="87" t="n">
        <f aca="false">SUMIFS($F13:$F47,$D13:$D47,"Staff costs",$E13:$E47,"7")</f>
        <v>0</v>
      </c>
      <c r="I5" s="87" t="n">
        <f aca="false">SUMIFS($F13:$F47,$D13:$D47,"Staff costs",$E13:$E47,"8")</f>
        <v>0</v>
      </c>
      <c r="J5" s="87" t="n">
        <f aca="false">SUM(B5:I5)</f>
        <v>0</v>
      </c>
    </row>
    <row r="6" customFormat="false" ht="15" hidden="false" customHeight="false" outlineLevel="0" collapsed="false">
      <c r="A6" s="60" t="s">
        <v>84</v>
      </c>
      <c r="B6" s="87" t="n">
        <f aca="false">SUMIFS($F13:$F47,$D13:$D47,"Management",$E13:$E47,"1")</f>
        <v>0</v>
      </c>
      <c r="C6" s="87" t="n">
        <f aca="false">SUMIFS($F13:$F47,$D13:$D47,"Management",$E13:$E47,"2")</f>
        <v>0</v>
      </c>
      <c r="D6" s="87" t="n">
        <f aca="false">SUMIFS($F13:$F47,$D13:$D47,"Management",$E13:$E47,"3")</f>
        <v>0</v>
      </c>
      <c r="E6" s="87" t="n">
        <f aca="false">SUMIFS($F13:$F47,$D13:$D47,"Management",$E13:$E47,"4")</f>
        <v>0</v>
      </c>
      <c r="F6" s="87" t="n">
        <f aca="false">SUMIFS($F13:$F47,$D13:$D47,"Management",$E13:$E47,"5")</f>
        <v>2625</v>
      </c>
      <c r="G6" s="87" t="n">
        <f aca="false">SUMIFS($F13:$F47,$D13:$D47,"Management",$E13:$E47,"6")</f>
        <v>14000</v>
      </c>
      <c r="H6" s="87" t="n">
        <f aca="false">SUMIFS($F13:$F47,$D13:$D47,"Management",$E13:$E47,"7")</f>
        <v>5600</v>
      </c>
      <c r="I6" s="87" t="n">
        <f aca="false">SUMIFS($F13:$F47,$D13:$D47,"Management",$E13:$E47,"8")</f>
        <v>0</v>
      </c>
      <c r="J6" s="87" t="n">
        <f aca="false">SUM(B6:I6)</f>
        <v>22225</v>
      </c>
    </row>
    <row r="7" customFormat="false" ht="15" hidden="false" customHeight="false" outlineLevel="0" collapsed="false">
      <c r="A7" s="60"/>
      <c r="B7" s="87" t="n">
        <f aca="false">SUMIFS($F13:$F47,$D13:$D47,"Research stays",$E13:$E47,"1")</f>
        <v>0</v>
      </c>
      <c r="C7" s="87" t="n">
        <f aca="false">SUMIFS($F13:$F47,$D13:$D47,"Research stays",$E13:$E47,"2")</f>
        <v>0</v>
      </c>
      <c r="D7" s="87" t="n">
        <f aca="false">SUMIFS($F13:$F47,$D13:$D47,"Research stays",$E13:$E47,"3")</f>
        <v>0</v>
      </c>
      <c r="E7" s="87" t="n">
        <f aca="false">SUMIFS($F13:$F47,$D13:$D47,"Research stays",$E13:$E47,"4")</f>
        <v>0</v>
      </c>
      <c r="F7" s="87" t="n">
        <f aca="false">SUMIFS($F13:$F47,$D13:$D47,"Research stays",$E13:$E47,"5")</f>
        <v>0</v>
      </c>
      <c r="G7" s="87" t="n">
        <f aca="false">SUMIFS($F13:$F47,$D13:$D47,"Research stays",$E13:$E47,"6")</f>
        <v>0</v>
      </c>
      <c r="H7" s="87" t="n">
        <f aca="false">SUMIFS($F13:$F47,$D13:$D47,"Research stays",$E13:$E47,"7")</f>
        <v>0</v>
      </c>
      <c r="I7" s="87" t="n">
        <f aca="false">SUMIFS($F13:$F47,$D13:$D47,"Research stays",$E13:$E47,"8")</f>
        <v>0</v>
      </c>
      <c r="J7" s="87" t="n">
        <f aca="false">SUM(B7:I7)</f>
        <v>0</v>
      </c>
    </row>
    <row r="8" customFormat="false" ht="15" hidden="false" customHeight="false" outlineLevel="0" collapsed="false">
      <c r="A8" s="60" t="s">
        <v>95</v>
      </c>
      <c r="B8" s="87" t="n">
        <f aca="false">SUMIFS($F13:$F47,$D13:$D47,"Meetings &amp; events",$E13:$E47,"1")</f>
        <v>4900</v>
      </c>
      <c r="C8" s="87" t="n">
        <f aca="false">SUMIFS($F13:$F47,$D13:$D47,"Meetings &amp; events",$E13:$E47,"2")</f>
        <v>9800</v>
      </c>
      <c r="D8" s="87" t="n">
        <f aca="false">SUMIFS($F13:$F47,$D13:$D47,"Meetings &amp; events",$E13:$E47,"3")</f>
        <v>2800</v>
      </c>
      <c r="E8" s="87" t="n">
        <f aca="false">SUMIFS($F13:$F47,$D13:$D47,"Meetings &amp; events",$E13:$E47,"4")</f>
        <v>7700</v>
      </c>
      <c r="F8" s="87" t="n">
        <f aca="false">SUMIFS($F13:$F47,$D13:$D47,"Meetings &amp; events",$E13:$E47,"5")</f>
        <v>0</v>
      </c>
      <c r="G8" s="87" t="n">
        <f aca="false">SUMIFS($F13:$F47,$D13:$D47,"Meetings &amp; events",$E13:$E47,"6")</f>
        <v>0</v>
      </c>
      <c r="H8" s="87" t="n">
        <f aca="false">SUMIFS($F13:$F47,$D13:$D47,"Meetings &amp; events",$E13:$E47,"7")</f>
        <v>0</v>
      </c>
      <c r="I8" s="87" t="n">
        <f aca="false">SUMIFS($F13:$F47,$D13:$D47,"Meetings &amp; events",$E13:$E47,"8")</f>
        <v>0</v>
      </c>
      <c r="J8" s="87" t="n">
        <f aca="false">SUM(B8:I8)</f>
        <v>25200</v>
      </c>
    </row>
    <row r="9" customFormat="false" ht="15.75" hidden="false" customHeight="false" outlineLevel="0" collapsed="false">
      <c r="A9" s="65"/>
      <c r="B9" s="88" t="n">
        <f aca="false">SUMIFS($F13:$F47,$D13:$D47,"Aladin Flat-rate LACE",$E13:$E47,"1")</f>
        <v>0</v>
      </c>
      <c r="C9" s="88" t="n">
        <f aca="false">SUMIFS($F13:$F47,$D13:$D47,"Aladin Flat-rate LACE",$E13:$E47,"2")</f>
        <v>0</v>
      </c>
      <c r="D9" s="88" t="n">
        <f aca="false">SUMIFS($F13:$F47,$D13:$D47,"Aladin Flat-rate LACE",$E13:$E47,"3")</f>
        <v>0</v>
      </c>
      <c r="E9" s="88" t="n">
        <f aca="false">SUMIFS($F13:$F47,$D13:$D47,"Aladin Flat-rate LACE",$E13:$E47,"4")</f>
        <v>0</v>
      </c>
      <c r="F9" s="88" t="n">
        <f aca="false">SUMIFS($F13:$F47,$D13:$D47,"Aladin Flat-rate LACE",$E13:$E47,"5")</f>
        <v>0</v>
      </c>
      <c r="G9" s="88" t="n">
        <f aca="false">SUMIFS($F13:$F47,$D13:$D47,"Aladin Flat-rate LACE",$E13:$E47,"6")</f>
        <v>0</v>
      </c>
      <c r="H9" s="88" t="n">
        <f aca="false">SUMIFS($F13:$F47,$D13:$D47,"Aladin Flat-rate LACE",$E13:$E47,"7")</f>
        <v>0</v>
      </c>
      <c r="I9" s="88" t="n">
        <f aca="false">SUMIFS($F13:$F47,$D13:$D47,"Aladin Flat-rate LACE",$E13:$E47,"8")</f>
        <v>0</v>
      </c>
      <c r="J9" s="88" t="n">
        <f aca="false">SUM(B9:I9)</f>
        <v>0</v>
      </c>
    </row>
    <row r="10" customFormat="false" ht="15" hidden="false" customHeight="false" outlineLevel="0" collapsed="false">
      <c r="A10" s="70" t="s">
        <v>14</v>
      </c>
      <c r="B10" s="89" t="n">
        <f aca="false">SUM(B5:B9)</f>
        <v>4900</v>
      </c>
      <c r="C10" s="89" t="n">
        <f aca="false">SUM(C5:C9)</f>
        <v>9800</v>
      </c>
      <c r="D10" s="89" t="n">
        <f aca="false">SUM(D5:D9)</f>
        <v>2800</v>
      </c>
      <c r="E10" s="89" t="n">
        <f aca="false">SUM(E5:E9)</f>
        <v>7700</v>
      </c>
      <c r="F10" s="89" t="n">
        <f aca="false">SUM(F5:F9)</f>
        <v>2625</v>
      </c>
      <c r="G10" s="89" t="n">
        <f aca="false">SUM(G5:G9)</f>
        <v>14000</v>
      </c>
      <c r="H10" s="89" t="n">
        <f aca="false">SUM(H5:H9)</f>
        <v>5600</v>
      </c>
      <c r="I10" s="89" t="n">
        <f aca="false">SUM(I5:I9)</f>
        <v>0</v>
      </c>
      <c r="J10" s="89" t="n">
        <f aca="false">SUM(B10:I10)</f>
        <v>47425</v>
      </c>
    </row>
    <row r="12" customFormat="false" ht="15" hidden="false" customHeight="false" outlineLevel="0" collapsed="false">
      <c r="A12" s="57" t="s">
        <v>74</v>
      </c>
      <c r="B12" s="57" t="s">
        <v>75</v>
      </c>
      <c r="C12" s="57"/>
      <c r="D12" s="57" t="s">
        <v>76</v>
      </c>
      <c r="E12" s="57" t="s">
        <v>77</v>
      </c>
      <c r="F12" s="57" t="s">
        <v>78</v>
      </c>
      <c r="L12" s="247"/>
      <c r="M12" s="247"/>
      <c r="N12" s="247"/>
      <c r="O12" s="247"/>
    </row>
    <row r="13" customFormat="false" ht="15" hidden="false" customHeight="true" outlineLevel="0" collapsed="false">
      <c r="A13" s="99" t="s">
        <v>221</v>
      </c>
      <c r="B13" s="91" t="s">
        <v>222</v>
      </c>
      <c r="C13" s="91"/>
      <c r="D13" s="92" t="s">
        <v>95</v>
      </c>
      <c r="E13" s="93" t="n">
        <v>2</v>
      </c>
      <c r="F13" s="94" t="n">
        <v>700</v>
      </c>
    </row>
    <row r="14" customFormat="false" ht="15" hidden="false" customHeight="true" outlineLevel="0" collapsed="false">
      <c r="A14" s="99"/>
      <c r="B14" s="0" t="s">
        <v>223</v>
      </c>
      <c r="C14" s="114"/>
      <c r="D14" s="92" t="s">
        <v>95</v>
      </c>
      <c r="E14" s="93" t="n">
        <v>2</v>
      </c>
      <c r="F14" s="94" t="n">
        <v>700</v>
      </c>
      <c r="H14" s="24"/>
    </row>
    <row r="15" customFormat="false" ht="15" hidden="false" customHeight="true" outlineLevel="0" collapsed="false">
      <c r="A15" s="99" t="s">
        <v>224</v>
      </c>
      <c r="B15" s="91" t="s">
        <v>222</v>
      </c>
      <c r="C15" s="91"/>
      <c r="D15" s="92" t="s">
        <v>95</v>
      </c>
      <c r="E15" s="93" t="n">
        <v>2</v>
      </c>
      <c r="F15" s="94" t="n">
        <v>700</v>
      </c>
    </row>
    <row r="16" customFormat="false" ht="15" hidden="false" customHeight="true" outlineLevel="0" collapsed="false">
      <c r="A16" s="99"/>
      <c r="B16" s="0" t="s">
        <v>223</v>
      </c>
      <c r="C16" s="114"/>
      <c r="D16" s="92" t="s">
        <v>95</v>
      </c>
      <c r="E16" s="93" t="n">
        <v>2</v>
      </c>
      <c r="F16" s="94" t="n">
        <v>700</v>
      </c>
    </row>
    <row r="17" customFormat="false" ht="15" hidden="false" customHeight="true" outlineLevel="0" collapsed="false">
      <c r="A17" s="99" t="s">
        <v>225</v>
      </c>
      <c r="B17" s="91" t="s">
        <v>222</v>
      </c>
      <c r="C17" s="91"/>
      <c r="D17" s="92" t="s">
        <v>95</v>
      </c>
      <c r="E17" s="93" t="n">
        <v>2</v>
      </c>
      <c r="F17" s="94" t="n">
        <v>700</v>
      </c>
      <c r="G17" s="117"/>
    </row>
    <row r="18" customFormat="false" ht="15" hidden="false" customHeight="true" outlineLevel="0" collapsed="false">
      <c r="A18" s="99"/>
      <c r="B18" s="0" t="s">
        <v>223</v>
      </c>
      <c r="C18" s="114"/>
      <c r="D18" s="92" t="s">
        <v>95</v>
      </c>
      <c r="E18" s="93" t="n">
        <v>2</v>
      </c>
      <c r="F18" s="94" t="n">
        <v>700</v>
      </c>
    </row>
    <row r="19" customFormat="false" ht="15" hidden="false" customHeight="true" outlineLevel="0" collapsed="false">
      <c r="A19" s="99" t="s">
        <v>226</v>
      </c>
      <c r="B19" s="91" t="s">
        <v>222</v>
      </c>
      <c r="C19" s="91"/>
      <c r="D19" s="92" t="s">
        <v>95</v>
      </c>
      <c r="E19" s="93" t="n">
        <v>2</v>
      </c>
      <c r="F19" s="94" t="n">
        <v>700</v>
      </c>
    </row>
    <row r="20" customFormat="false" ht="15" hidden="false" customHeight="true" outlineLevel="0" collapsed="false">
      <c r="A20" s="99"/>
      <c r="B20" s="0" t="s">
        <v>223</v>
      </c>
      <c r="C20" s="114"/>
      <c r="D20" s="92" t="s">
        <v>95</v>
      </c>
      <c r="E20" s="93" t="n">
        <v>2</v>
      </c>
      <c r="F20" s="94" t="n">
        <v>700</v>
      </c>
      <c r="G20" s="100"/>
      <c r="H20" s="101"/>
      <c r="I20" s="102"/>
      <c r="J20" s="101"/>
      <c r="K20" s="101"/>
      <c r="L20" s="102"/>
    </row>
    <row r="21" customFormat="false" ht="15" hidden="false" customHeight="true" outlineLevel="0" collapsed="false">
      <c r="A21" s="99" t="s">
        <v>227</v>
      </c>
      <c r="B21" s="91" t="s">
        <v>222</v>
      </c>
      <c r="C21" s="91"/>
      <c r="D21" s="92" t="s">
        <v>95</v>
      </c>
      <c r="E21" s="93" t="n">
        <v>2</v>
      </c>
      <c r="F21" s="94" t="n">
        <v>700</v>
      </c>
      <c r="G21" s="100"/>
      <c r="H21" s="101"/>
      <c r="I21" s="102"/>
      <c r="J21" s="101"/>
      <c r="K21" s="101"/>
      <c r="L21" s="248"/>
    </row>
    <row r="22" customFormat="false" ht="15" hidden="false" customHeight="true" outlineLevel="0" collapsed="false">
      <c r="A22" s="99"/>
      <c r="B22" s="0" t="s">
        <v>223</v>
      </c>
      <c r="C22" s="114"/>
      <c r="D22" s="92" t="s">
        <v>95</v>
      </c>
      <c r="E22" s="93" t="n">
        <v>2</v>
      </c>
      <c r="F22" s="94" t="n">
        <v>700</v>
      </c>
      <c r="G22" s="100"/>
      <c r="H22" s="101"/>
      <c r="I22" s="102"/>
      <c r="J22" s="101"/>
      <c r="K22" s="101"/>
      <c r="L22" s="248"/>
    </row>
    <row r="23" customFormat="false" ht="15" hidden="false" customHeight="true" outlineLevel="0" collapsed="false">
      <c r="A23" s="99" t="s">
        <v>228</v>
      </c>
      <c r="B23" s="91" t="s">
        <v>222</v>
      </c>
      <c r="C23" s="91"/>
      <c r="D23" s="92" t="s">
        <v>95</v>
      </c>
      <c r="E23" s="93" t="n">
        <v>2</v>
      </c>
      <c r="F23" s="94" t="n">
        <v>700</v>
      </c>
      <c r="G23" s="100"/>
      <c r="H23" s="101"/>
      <c r="I23" s="102"/>
      <c r="J23" s="101"/>
      <c r="K23" s="101"/>
      <c r="L23" s="248"/>
    </row>
    <row r="24" customFormat="false" ht="15" hidden="false" customHeight="true" outlineLevel="0" collapsed="false">
      <c r="A24" s="99"/>
      <c r="B24" s="0" t="s">
        <v>223</v>
      </c>
      <c r="C24" s="114"/>
      <c r="D24" s="92" t="s">
        <v>95</v>
      </c>
      <c r="E24" s="93" t="n">
        <v>2</v>
      </c>
      <c r="F24" s="94" t="n">
        <v>700</v>
      </c>
      <c r="G24" s="100"/>
      <c r="H24" s="101"/>
      <c r="I24" s="102"/>
      <c r="J24" s="101"/>
      <c r="K24" s="101"/>
      <c r="L24" s="248"/>
    </row>
    <row r="25" customFormat="false" ht="15" hidden="false" customHeight="true" outlineLevel="0" collapsed="false">
      <c r="A25" s="99" t="s">
        <v>229</v>
      </c>
      <c r="B25" s="91" t="s">
        <v>222</v>
      </c>
      <c r="C25" s="91"/>
      <c r="D25" s="92" t="s">
        <v>95</v>
      </c>
      <c r="E25" s="93" t="n">
        <v>2</v>
      </c>
      <c r="F25" s="94" t="n">
        <v>700</v>
      </c>
      <c r="G25" s="100"/>
      <c r="H25" s="101"/>
      <c r="I25" s="102"/>
      <c r="J25" s="101"/>
      <c r="K25" s="101"/>
      <c r="L25" s="248"/>
    </row>
    <row r="26" customFormat="false" ht="15" hidden="false" customHeight="true" outlineLevel="0" collapsed="false">
      <c r="A26" s="99"/>
      <c r="B26" s="0" t="s">
        <v>223</v>
      </c>
      <c r="C26" s="114"/>
      <c r="D26" s="92" t="s">
        <v>95</v>
      </c>
      <c r="E26" s="93" t="n">
        <v>2</v>
      </c>
      <c r="F26" s="94" t="n">
        <v>700</v>
      </c>
      <c r="G26" s="100"/>
      <c r="H26" s="101"/>
      <c r="I26" s="102"/>
      <c r="J26" s="101"/>
      <c r="K26" s="101"/>
      <c r="L26" s="248"/>
    </row>
    <row r="27" customFormat="false" ht="15" hidden="false" customHeight="true" outlineLevel="0" collapsed="false">
      <c r="A27" s="95" t="s">
        <v>230</v>
      </c>
      <c r="B27" s="91" t="s">
        <v>222</v>
      </c>
      <c r="C27" s="91"/>
      <c r="D27" s="92" t="s">
        <v>95</v>
      </c>
      <c r="E27" s="93" t="n">
        <v>3</v>
      </c>
      <c r="F27" s="94" t="n">
        <v>700</v>
      </c>
      <c r="G27" s="100"/>
      <c r="H27" s="101"/>
      <c r="I27" s="102"/>
      <c r="J27" s="101"/>
      <c r="K27" s="101"/>
      <c r="L27" s="248"/>
    </row>
    <row r="28" customFormat="false" ht="15" hidden="false" customHeight="true" outlineLevel="0" collapsed="false">
      <c r="A28" s="95"/>
      <c r="B28" s="0" t="s">
        <v>223</v>
      </c>
      <c r="C28" s="114"/>
      <c r="D28" s="92" t="s">
        <v>95</v>
      </c>
      <c r="E28" s="93" t="n">
        <v>3</v>
      </c>
      <c r="F28" s="94" t="n">
        <v>700</v>
      </c>
      <c r="G28" s="100"/>
      <c r="H28" s="101"/>
      <c r="I28" s="102"/>
      <c r="J28" s="101"/>
      <c r="K28" s="101"/>
      <c r="L28" s="248"/>
    </row>
    <row r="29" customFormat="false" ht="15" hidden="false" customHeight="true" outlineLevel="0" collapsed="false">
      <c r="A29" s="95" t="s">
        <v>231</v>
      </c>
      <c r="B29" s="91" t="s">
        <v>222</v>
      </c>
      <c r="C29" s="91"/>
      <c r="D29" s="92" t="s">
        <v>95</v>
      </c>
      <c r="E29" s="93" t="n">
        <v>3</v>
      </c>
      <c r="F29" s="94" t="n">
        <v>700</v>
      </c>
      <c r="G29" s="100"/>
      <c r="H29" s="101"/>
      <c r="I29" s="102"/>
      <c r="J29" s="101"/>
      <c r="K29" s="101"/>
      <c r="L29" s="248"/>
    </row>
    <row r="30" customFormat="false" ht="15" hidden="false" customHeight="true" outlineLevel="0" collapsed="false">
      <c r="A30" s="95"/>
      <c r="B30" s="0" t="s">
        <v>223</v>
      </c>
      <c r="C30" s="114"/>
      <c r="D30" s="92" t="s">
        <v>95</v>
      </c>
      <c r="E30" s="93" t="n">
        <v>3</v>
      </c>
      <c r="F30" s="94" t="n">
        <v>700</v>
      </c>
      <c r="G30" s="100"/>
      <c r="H30" s="101"/>
      <c r="I30" s="102"/>
      <c r="J30" s="101"/>
      <c r="K30" s="101"/>
      <c r="L30" s="248"/>
    </row>
    <row r="31" customFormat="false" ht="15" hidden="false" customHeight="true" outlineLevel="0" collapsed="false">
      <c r="A31" s="95" t="s">
        <v>232</v>
      </c>
      <c r="B31" s="91" t="s">
        <v>233</v>
      </c>
      <c r="C31" s="91"/>
      <c r="D31" s="92" t="s">
        <v>95</v>
      </c>
      <c r="E31" s="93" t="n">
        <v>4</v>
      </c>
      <c r="F31" s="94" t="n">
        <v>1400</v>
      </c>
      <c r="G31" s="100"/>
      <c r="H31" s="101"/>
      <c r="I31" s="102"/>
      <c r="J31" s="101"/>
      <c r="K31" s="101"/>
      <c r="L31" s="102"/>
    </row>
    <row r="32" customFormat="false" ht="15" hidden="false" customHeight="true" outlineLevel="0" collapsed="false">
      <c r="A32" s="95" t="s">
        <v>234</v>
      </c>
      <c r="B32" s="91" t="s">
        <v>233</v>
      </c>
      <c r="C32" s="91"/>
      <c r="D32" s="92" t="s">
        <v>95</v>
      </c>
      <c r="E32" s="93" t="n">
        <v>4</v>
      </c>
      <c r="F32" s="94" t="n">
        <v>1400</v>
      </c>
      <c r="G32" s="100"/>
      <c r="H32" s="101"/>
      <c r="I32" s="102"/>
      <c r="J32" s="101"/>
      <c r="K32" s="101"/>
      <c r="L32" s="102"/>
    </row>
    <row r="33" customFormat="false" ht="15" hidden="false" customHeight="true" outlineLevel="0" collapsed="false">
      <c r="A33" s="115" t="s">
        <v>235</v>
      </c>
      <c r="B33" s="91" t="s">
        <v>233</v>
      </c>
      <c r="C33" s="91"/>
      <c r="D33" s="92" t="s">
        <v>95</v>
      </c>
      <c r="E33" s="93" t="n">
        <v>4</v>
      </c>
      <c r="F33" s="94" t="n">
        <v>1400</v>
      </c>
      <c r="H33" s="101"/>
      <c r="I33" s="101"/>
      <c r="J33" s="101"/>
      <c r="K33" s="101"/>
      <c r="L33" s="102"/>
    </row>
    <row r="34" customFormat="false" ht="15" hidden="false" customHeight="true" outlineLevel="0" collapsed="false">
      <c r="A34" s="95" t="s">
        <v>236</v>
      </c>
      <c r="B34" s="91" t="s">
        <v>233</v>
      </c>
      <c r="C34" s="91"/>
      <c r="D34" s="92" t="s">
        <v>95</v>
      </c>
      <c r="E34" s="93" t="n">
        <v>4</v>
      </c>
      <c r="F34" s="94" t="n">
        <v>1400</v>
      </c>
    </row>
    <row r="35" customFormat="false" ht="15" hidden="false" customHeight="true" outlineLevel="0" collapsed="false">
      <c r="A35" s="95" t="s">
        <v>237</v>
      </c>
      <c r="B35" s="91" t="s">
        <v>238</v>
      </c>
      <c r="C35" s="91"/>
      <c r="D35" s="92" t="s">
        <v>95</v>
      </c>
      <c r="E35" s="93" t="n">
        <v>1</v>
      </c>
      <c r="F35" s="94" t="n">
        <v>700</v>
      </c>
    </row>
    <row r="36" customFormat="false" ht="15" hidden="false" customHeight="true" outlineLevel="0" collapsed="false">
      <c r="A36" s="95" t="s">
        <v>239</v>
      </c>
      <c r="B36" s="91" t="s">
        <v>238</v>
      </c>
      <c r="C36" s="91"/>
      <c r="D36" s="92" t="s">
        <v>95</v>
      </c>
      <c r="E36" s="93" t="n">
        <v>1</v>
      </c>
      <c r="F36" s="94" t="n">
        <v>700</v>
      </c>
    </row>
    <row r="37" customFormat="false" ht="15" hidden="false" customHeight="true" outlineLevel="0" collapsed="false">
      <c r="A37" s="95" t="s">
        <v>240</v>
      </c>
      <c r="B37" s="91" t="s">
        <v>238</v>
      </c>
      <c r="C37" s="91"/>
      <c r="D37" s="92" t="s">
        <v>95</v>
      </c>
      <c r="E37" s="93" t="n">
        <v>1</v>
      </c>
      <c r="F37" s="94" t="n">
        <v>700</v>
      </c>
    </row>
    <row r="38" customFormat="false" ht="15" hidden="false" customHeight="true" outlineLevel="0" collapsed="false">
      <c r="A38" s="99" t="s">
        <v>241</v>
      </c>
      <c r="B38" s="91" t="s">
        <v>238</v>
      </c>
      <c r="C38" s="91"/>
      <c r="D38" s="92" t="s">
        <v>95</v>
      </c>
      <c r="E38" s="93" t="n">
        <v>1</v>
      </c>
      <c r="F38" s="94" t="n">
        <v>700</v>
      </c>
    </row>
    <row r="39" customFormat="false" ht="15" hidden="false" customHeight="true" outlineLevel="0" collapsed="false">
      <c r="A39" s="99" t="s">
        <v>242</v>
      </c>
      <c r="B39" s="91" t="s">
        <v>238</v>
      </c>
      <c r="C39" s="91"/>
      <c r="D39" s="92" t="s">
        <v>95</v>
      </c>
      <c r="E39" s="93" t="n">
        <v>1</v>
      </c>
      <c r="F39" s="94" t="n">
        <v>700</v>
      </c>
    </row>
    <row r="40" customFormat="false" ht="15" hidden="false" customHeight="true" outlineLevel="0" collapsed="false">
      <c r="A40" s="99" t="s">
        <v>243</v>
      </c>
      <c r="B40" s="91" t="s">
        <v>238</v>
      </c>
      <c r="C40" s="91"/>
      <c r="D40" s="92" t="s">
        <v>95</v>
      </c>
      <c r="E40" s="93" t="n">
        <v>1</v>
      </c>
      <c r="F40" s="94" t="n">
        <v>700</v>
      </c>
    </row>
    <row r="41" customFormat="false" ht="15" hidden="false" customHeight="true" outlineLevel="0" collapsed="false">
      <c r="A41" s="99" t="s">
        <v>244</v>
      </c>
      <c r="B41" s="91" t="s">
        <v>238</v>
      </c>
      <c r="C41" s="91"/>
      <c r="D41" s="92" t="s">
        <v>95</v>
      </c>
      <c r="E41" s="93" t="n">
        <v>1</v>
      </c>
      <c r="F41" s="94" t="n">
        <v>700</v>
      </c>
    </row>
    <row r="42" customFormat="false" ht="22.35" hidden="false" customHeight="true" outlineLevel="0" collapsed="false">
      <c r="A42" s="163" t="s">
        <v>245</v>
      </c>
      <c r="B42" s="91" t="s">
        <v>246</v>
      </c>
      <c r="C42" s="91"/>
      <c r="D42" s="195" t="s">
        <v>95</v>
      </c>
      <c r="E42" s="164" t="n">
        <v>4</v>
      </c>
      <c r="F42" s="116" t="n">
        <v>2100</v>
      </c>
      <c r="G42" s="117"/>
    </row>
    <row r="43" customFormat="false" ht="15" hidden="false" customHeight="false" outlineLevel="0" collapsed="false">
      <c r="A43" s="95"/>
      <c r="B43" s="91"/>
      <c r="C43" s="91"/>
      <c r="D43" s="92"/>
      <c r="E43" s="93"/>
      <c r="F43" s="94"/>
    </row>
    <row r="44" customFormat="false" ht="15" hidden="false" customHeight="false" outlineLevel="0" collapsed="false">
      <c r="A44" s="245" t="s">
        <v>247</v>
      </c>
      <c r="B44" s="91"/>
      <c r="C44" s="91"/>
      <c r="D44" s="92" t="s">
        <v>84</v>
      </c>
      <c r="E44" s="249" t="n">
        <v>5</v>
      </c>
      <c r="F44" s="94" t="n">
        <v>2625</v>
      </c>
      <c r="G44" s="250"/>
      <c r="H44" s="13"/>
    </row>
    <row r="45" customFormat="false" ht="15" hidden="false" customHeight="false" outlineLevel="0" collapsed="false">
      <c r="A45" s="242" t="s">
        <v>248</v>
      </c>
      <c r="B45" s="152"/>
      <c r="C45" s="152"/>
      <c r="D45" s="251" t="s">
        <v>84</v>
      </c>
      <c r="E45" s="252" t="n">
        <v>6</v>
      </c>
      <c r="F45" s="253" t="n">
        <v>14000</v>
      </c>
      <c r="G45" s="46" t="s">
        <v>249</v>
      </c>
      <c r="H45" s="13"/>
    </row>
    <row r="46" customFormat="false" ht="15" hidden="false" customHeight="false" outlineLevel="0" collapsed="false">
      <c r="A46" s="254" t="s">
        <v>250</v>
      </c>
      <c r="B46" s="163"/>
      <c r="C46" s="163"/>
      <c r="D46" s="195" t="s">
        <v>84</v>
      </c>
      <c r="E46" s="164" t="n">
        <v>7</v>
      </c>
      <c r="F46" s="116" t="n">
        <v>5600</v>
      </c>
      <c r="G46" s="117" t="s">
        <v>251</v>
      </c>
      <c r="H46" s="117"/>
      <c r="I46" s="47"/>
      <c r="J46" s="47"/>
      <c r="K46" s="47"/>
    </row>
    <row r="47" customFormat="false" ht="15" hidden="false" customHeight="false" outlineLevel="0" collapsed="false">
      <c r="A47" s="95"/>
      <c r="B47" s="91"/>
      <c r="C47" s="91"/>
      <c r="D47" s="92"/>
      <c r="E47" s="93"/>
      <c r="F47" s="94"/>
    </row>
    <row r="48" customFormat="false" ht="15" hidden="false" customHeight="false" outlineLevel="0" collapsed="false">
      <c r="A48" s="127" t="s">
        <v>98</v>
      </c>
      <c r="B48" s="128" t="s">
        <v>99</v>
      </c>
      <c r="C48" s="129" t="s">
        <v>100</v>
      </c>
    </row>
    <row r="49" customFormat="false" ht="15" hidden="false" customHeight="false" outlineLevel="0" collapsed="false">
      <c r="A49" s="127"/>
      <c r="B49" s="127"/>
      <c r="C49" s="127"/>
    </row>
    <row r="52" customFormat="false" ht="21" hidden="false" customHeight="false" outlineLevel="0" collapsed="false">
      <c r="A52" s="1" t="s">
        <v>252</v>
      </c>
    </row>
    <row r="53" customFormat="false" ht="15" hidden="false" customHeight="false" outlineLevel="0" collapsed="false">
      <c r="A53" s="130"/>
      <c r="B53" s="130" t="n">
        <v>1</v>
      </c>
      <c r="C53" s="130" t="n">
        <v>2</v>
      </c>
      <c r="D53" s="130" t="n">
        <v>3</v>
      </c>
      <c r="E53" s="130" t="n">
        <v>4</v>
      </c>
      <c r="F53" s="130" t="n">
        <v>5</v>
      </c>
      <c r="G53" s="130" t="n">
        <v>6</v>
      </c>
      <c r="H53" s="130" t="n">
        <v>7</v>
      </c>
      <c r="I53" s="130" t="n">
        <v>8</v>
      </c>
      <c r="J53" s="130" t="s">
        <v>14</v>
      </c>
    </row>
    <row r="54" customFormat="false" ht="15" hidden="false" customHeight="false" outlineLevel="0" collapsed="false">
      <c r="A54" s="131"/>
      <c r="B54" s="132"/>
      <c r="C54" s="132" t="s">
        <v>215</v>
      </c>
      <c r="D54" s="132" t="s">
        <v>216</v>
      </c>
      <c r="E54" s="132" t="s">
        <v>217</v>
      </c>
      <c r="F54" s="132" t="s">
        <v>218</v>
      </c>
      <c r="G54" s="255" t="s">
        <v>219</v>
      </c>
      <c r="H54" s="255" t="s">
        <v>220</v>
      </c>
      <c r="I54" s="255"/>
      <c r="J54" s="131"/>
    </row>
    <row r="55" customFormat="false" ht="15" hidden="false" customHeight="false" outlineLevel="0" collapsed="false">
      <c r="A55" s="78"/>
      <c r="B55" s="87" t="n">
        <f aca="false">SUMIFS($F63:$F90,$D63:$D90,"Staff costs",$E63:$E90,"1")</f>
        <v>0</v>
      </c>
      <c r="C55" s="87" t="n">
        <f aca="false">SUMIFS($F63:$F90,$D63:$D90,"Staff costs",$E63:$E90,"2")</f>
        <v>0</v>
      </c>
      <c r="D55" s="87" t="n">
        <f aca="false">SUMIFS($F63:$F90,$D63:$D90,"Staff costs",$E63:$E90,"3")</f>
        <v>0</v>
      </c>
      <c r="E55" s="87" t="n">
        <f aca="false">SUMIFS($F63:$F90,$D63:$D90,"Staff costs",$E63:$E90,"4")</f>
        <v>0</v>
      </c>
      <c r="F55" s="87" t="n">
        <f aca="false">SUMIFS($F63:$F90,$D63:$D90,"Staff costs",$E63:$E90,"5")</f>
        <v>0</v>
      </c>
      <c r="G55" s="87" t="n">
        <f aca="false">SUMIFS($F63:$F90,$D63:$D90,"Staff costs",$E63:$E90,"6")</f>
        <v>0</v>
      </c>
      <c r="H55" s="87" t="n">
        <f aca="false">SUMIFS($F63:$F90,$D63:$D90,"Staff costs",$E63:$E90,"7")</f>
        <v>0</v>
      </c>
      <c r="I55" s="87" t="n">
        <f aca="false">SUMIFS($F63:$F90,$D63:$D90,"Staff costs",$E63:$E90,"8")</f>
        <v>0</v>
      </c>
      <c r="J55" s="87" t="n">
        <f aca="false">SUM(B55:I55)</f>
        <v>0</v>
      </c>
    </row>
    <row r="56" customFormat="false" ht="13.8" hidden="false" customHeight="false" outlineLevel="0" collapsed="false">
      <c r="A56" s="78" t="s">
        <v>84</v>
      </c>
      <c r="B56" s="87" t="n">
        <f aca="false">SUMIFS($F63:$F90,$D63:$D90,"Management",$E63:$E90,"1")</f>
        <v>0</v>
      </c>
      <c r="C56" s="87" t="n">
        <f aca="false">SUMIFS($F63:$F90,$D63:$D90,"Management",$E63:$E90,"2")</f>
        <v>0</v>
      </c>
      <c r="D56" s="87" t="n">
        <f aca="false">SUMIFS($F63:$F90,$D63:$D90,"Management",$E63:$E90,"3")</f>
        <v>0</v>
      </c>
      <c r="E56" s="87" t="n">
        <f aca="false">SUMIFS($F63:$F90,$D63:$D90,"Management",$E63:$E90,"4")</f>
        <v>0</v>
      </c>
      <c r="F56" s="87" t="n">
        <f aca="false">SUMIFS($F63:$F90,$D63:$D90,"Management",$E63:$E90,"5")</f>
        <v>0</v>
      </c>
      <c r="G56" s="87" t="n">
        <f aca="false">SUMIFS($F63:$F90,$D63:$D90,"Management",$E63:$E90,"6")</f>
        <v>0</v>
      </c>
      <c r="H56" s="87" t="n">
        <f aca="false">SUMIFS($F63:$F90,$D63:$D90,"Management",$E63:$E90,"7")</f>
        <v>0</v>
      </c>
      <c r="I56" s="87" t="n">
        <f aca="false">SUMIFS($F63:$F90,$D63:$D90,"Management",$E63:$E90,"8")</f>
        <v>0</v>
      </c>
      <c r="J56" s="87" t="n">
        <f aca="false">SUM(B56:I56)</f>
        <v>0</v>
      </c>
    </row>
    <row r="57" customFormat="false" ht="15" hidden="false" customHeight="false" outlineLevel="0" collapsed="false">
      <c r="A57" s="78"/>
      <c r="B57" s="87" t="n">
        <f aca="false">SUMIFS($F63:$F90,$D63:$D90,"Research stays",$E63:$E90,"1")</f>
        <v>0</v>
      </c>
      <c r="C57" s="87" t="n">
        <f aca="false">SUMIFS($F63:$F90,$D63:$D90,"Research stays",$E63:$E90,"2")</f>
        <v>0</v>
      </c>
      <c r="D57" s="87" t="n">
        <f aca="false">SUMIFS($F63:$F90,$D63:$D90,"Research stays",$E63:$E90,"3")</f>
        <v>0</v>
      </c>
      <c r="E57" s="87" t="n">
        <f aca="false">SUMIFS($F63:$F90,$D63:$D90,"Research stays",$E63:$E90,"4")</f>
        <v>0</v>
      </c>
      <c r="F57" s="87" t="n">
        <f aca="false">SUMIFS($F63:$F90,$D63:$D90,"Research stays",$E63:$E90,"5")</f>
        <v>0</v>
      </c>
      <c r="G57" s="87" t="n">
        <f aca="false">SUMIFS($F63:$F90,$D63:$D90,"Research stays",$E63:$E90,"6")</f>
        <v>0</v>
      </c>
      <c r="H57" s="87" t="n">
        <f aca="false">SUMIFS($F63:$F90,$D63:$D90,"Research stays",$E63:$E90,"7")</f>
        <v>0</v>
      </c>
      <c r="I57" s="87" t="n">
        <f aca="false">SUMIFS($F63:$F90,$D63:$D90,"Research stays",$E63:$E90,"8")</f>
        <v>0</v>
      </c>
      <c r="J57" s="87" t="n">
        <f aca="false">SUM(B57:I57)</f>
        <v>0</v>
      </c>
    </row>
    <row r="58" customFormat="false" ht="15" hidden="false" customHeight="false" outlineLevel="0" collapsed="false">
      <c r="A58" s="78" t="s">
        <v>95</v>
      </c>
      <c r="B58" s="87" t="n">
        <f aca="false">SUMIFS($F63:$F90,$D63:$D90,"Meetings &amp; events",$E63:$E90,"1")</f>
        <v>0</v>
      </c>
      <c r="C58" s="87" t="n">
        <f aca="false">SUMIFS($F63:$F90,$D63:$D90,"Meetings &amp; events",$E63:$E90,"2")</f>
        <v>0</v>
      </c>
      <c r="D58" s="87" t="n">
        <f aca="false">SUMIFS($F63:$F90,$D63:$D90,"Meetings &amp; events",$E63:$E90,"3")</f>
        <v>0</v>
      </c>
      <c r="E58" s="87" t="n">
        <f aca="false">SUMIFS($F63:$F90,$D63:$D90,"Meetings &amp; events",$E63:$E90,"4")</f>
        <v>0</v>
      </c>
      <c r="F58" s="87" t="n">
        <f aca="false">SUMIFS($F63:$F90,$D63:$D90,"Meetings &amp; events",$E63:$E90,"5")</f>
        <v>0</v>
      </c>
      <c r="G58" s="87" t="n">
        <f aca="false">SUMIFS($F63:$F90,$D63:$D90,"Meetings &amp; events",$E63:$E90,"6")</f>
        <v>0</v>
      </c>
      <c r="H58" s="87" t="n">
        <f aca="false">SUMIFS($F63:$F90,$D63:$D90,"Meetings &amp; events",$E63:$E90,"7")</f>
        <v>0</v>
      </c>
      <c r="I58" s="87" t="n">
        <f aca="false">SUMIFS($F63:$F90,$D63:$D90,"Meetings &amp; events",$E63:$E90,"8")</f>
        <v>0</v>
      </c>
      <c r="J58" s="87" t="n">
        <f aca="false">SUM(B58:I58)</f>
        <v>0</v>
      </c>
    </row>
    <row r="59" customFormat="false" ht="15.75" hidden="false" customHeight="false" outlineLevel="0" collapsed="false">
      <c r="A59" s="80"/>
      <c r="B59" s="88" t="n">
        <f aca="false">SUMIFS($F63:$F90,$D63:$D90,"Aladin Flat-rate LACE",$E63:$E90,"1")</f>
        <v>0</v>
      </c>
      <c r="C59" s="88" t="n">
        <f aca="false">SUMIFS($F63:$F90,$D63:$D90,"Aladin Flat-rate LACE",$E63:$E90,"2")</f>
        <v>0</v>
      </c>
      <c r="D59" s="88" t="n">
        <f aca="false">SUMIFS($F63:$F90,$D63:$D90,"Aladin Flat-rate LACE",$E63:$E90,"3")</f>
        <v>0</v>
      </c>
      <c r="E59" s="88" t="n">
        <f aca="false">SUMIFS($F63:$F90,$D63:$D90,"Aladin Flat-rate LACE",$E63:$E90,"4")</f>
        <v>0</v>
      </c>
      <c r="F59" s="88" t="n">
        <f aca="false">SUMIFS($F63:$F90,$D63:$D90,"Aladin Flat-rate LACE",$E63:$E90,"5")</f>
        <v>0</v>
      </c>
      <c r="G59" s="88" t="n">
        <f aca="false">SUMIFS($F63:$F90,$D63:$D90,"Aladin Flat-rate LACE",$E63:$E90,"6")</f>
        <v>0</v>
      </c>
      <c r="H59" s="88" t="n">
        <f aca="false">SUMIFS($F63:$F90,$D63:$D90,"Aladin Flat-rate LACE",$E63:$E90,"7")</f>
        <v>0</v>
      </c>
      <c r="I59" s="88" t="n">
        <f aca="false">SUMIFS($F63:$F90,$D63:$D90,"Aladin Flat-rate LACE",$E63:$E90,"8")</f>
        <v>0</v>
      </c>
      <c r="J59" s="88" t="n">
        <f aca="false">SUM(B59:I59)</f>
        <v>0</v>
      </c>
    </row>
    <row r="60" customFormat="false" ht="15" hidden="false" customHeight="false" outlineLevel="0" collapsed="false">
      <c r="A60" s="81" t="s">
        <v>14</v>
      </c>
      <c r="B60" s="89" t="n">
        <f aca="false">SUM(B55:B59)</f>
        <v>0</v>
      </c>
      <c r="C60" s="89" t="n">
        <f aca="false">SUM(C55:C59)</f>
        <v>0</v>
      </c>
      <c r="D60" s="89" t="n">
        <f aca="false">SUM(D55:D59)</f>
        <v>0</v>
      </c>
      <c r="E60" s="89" t="n">
        <f aca="false">SUM(E55:E59)</f>
        <v>0</v>
      </c>
      <c r="F60" s="89" t="n">
        <f aca="false">SUM(F55:F59)</f>
        <v>0</v>
      </c>
      <c r="G60" s="89" t="n">
        <f aca="false">SUM(G55:G59)</f>
        <v>0</v>
      </c>
      <c r="H60" s="89" t="n">
        <f aca="false">SUM(H55:H59)</f>
        <v>0</v>
      </c>
      <c r="I60" s="89" t="n">
        <f aca="false">SUM(I55:I59)</f>
        <v>0</v>
      </c>
      <c r="J60" s="89" t="n">
        <f aca="false">SUM(B60:I60)</f>
        <v>0</v>
      </c>
    </row>
    <row r="62" customFormat="false" ht="15" hidden="false" customHeight="false" outlineLevel="0" collapsed="false">
      <c r="A62" s="76" t="s">
        <v>105</v>
      </c>
      <c r="B62" s="76" t="s">
        <v>75</v>
      </c>
      <c r="C62" s="76"/>
      <c r="D62" s="76" t="s">
        <v>76</v>
      </c>
      <c r="E62" s="76" t="s">
        <v>77</v>
      </c>
      <c r="F62" s="76" t="s">
        <v>4</v>
      </c>
      <c r="G62" s="133" t="s">
        <v>106</v>
      </c>
      <c r="H62" s="133" t="s">
        <v>127</v>
      </c>
      <c r="I62" s="133" t="s">
        <v>108</v>
      </c>
      <c r="J62" s="133" t="s">
        <v>109</v>
      </c>
      <c r="K62" s="133" t="s">
        <v>110</v>
      </c>
      <c r="L62" s="134" t="s">
        <v>111</v>
      </c>
      <c r="M62" s="137"/>
      <c r="N62" s="137"/>
      <c r="O62" s="137"/>
    </row>
    <row r="63" customFormat="false" ht="13.8" hidden="false" customHeight="false" outlineLevel="0" collapsed="false">
      <c r="A63" s="95"/>
      <c r="B63" s="245"/>
      <c r="C63" s="97"/>
      <c r="D63" s="92"/>
      <c r="E63" s="93"/>
      <c r="F63" s="94"/>
      <c r="G63" s="135"/>
      <c r="H63" s="135"/>
      <c r="I63" s="135"/>
      <c r="J63" s="135"/>
      <c r="K63" s="135"/>
      <c r="L63" s="140"/>
    </row>
    <row r="64" customFormat="false" ht="15" hidden="false" customHeight="true" outlineLevel="0" collapsed="false">
      <c r="A64" s="95"/>
      <c r="B64" s="91"/>
      <c r="C64" s="91"/>
      <c r="D64" s="92"/>
      <c r="E64" s="93"/>
      <c r="F64" s="94"/>
      <c r="G64" s="135"/>
      <c r="H64" s="135"/>
      <c r="I64" s="138"/>
      <c r="J64" s="135"/>
      <c r="K64" s="135"/>
      <c r="L64" s="166"/>
    </row>
    <row r="65" customFormat="false" ht="22.45" hidden="false" customHeight="true" outlineLevel="0" collapsed="false">
      <c r="A65" s="99"/>
      <c r="B65" s="91"/>
      <c r="C65" s="91"/>
      <c r="D65" s="92"/>
      <c r="E65" s="93"/>
      <c r="F65" s="94"/>
      <c r="G65" s="135"/>
      <c r="H65" s="135"/>
      <c r="I65" s="138"/>
      <c r="J65" s="135"/>
      <c r="K65" s="135"/>
      <c r="L65" s="166"/>
    </row>
    <row r="66" customFormat="false" ht="22.45" hidden="false" customHeight="true" outlineLevel="0" collapsed="false">
      <c r="A66" s="99"/>
      <c r="B66" s="91"/>
      <c r="C66" s="91"/>
      <c r="D66" s="92"/>
      <c r="E66" s="93"/>
      <c r="F66" s="112"/>
      <c r="G66" s="135"/>
      <c r="H66" s="135"/>
      <c r="I66" s="138"/>
      <c r="J66" s="135"/>
      <c r="K66" s="135"/>
      <c r="L66" s="166"/>
    </row>
    <row r="67" customFormat="false" ht="22.45" hidden="false" customHeight="true" outlineLevel="0" collapsed="false">
      <c r="A67" s="99"/>
      <c r="B67" s="91"/>
      <c r="C67" s="91"/>
      <c r="D67" s="92"/>
      <c r="E67" s="93"/>
      <c r="F67" s="112"/>
      <c r="G67" s="135"/>
      <c r="H67" s="256"/>
      <c r="I67" s="138"/>
      <c r="J67" s="135"/>
      <c r="K67" s="135"/>
      <c r="L67" s="166"/>
    </row>
    <row r="68" customFormat="false" ht="22.45" hidden="false" customHeight="true" outlineLevel="0" collapsed="false">
      <c r="A68" s="99"/>
      <c r="B68" s="91"/>
      <c r="C68" s="91"/>
      <c r="D68" s="92"/>
      <c r="E68" s="93"/>
      <c r="F68" s="112"/>
      <c r="G68" s="135"/>
      <c r="H68" s="135"/>
      <c r="I68" s="138"/>
      <c r="J68" s="135"/>
      <c r="K68" s="135"/>
      <c r="L68" s="166"/>
    </row>
    <row r="69" customFormat="false" ht="22.45" hidden="false" customHeight="true" outlineLevel="0" collapsed="false">
      <c r="A69" s="99"/>
      <c r="B69" s="91"/>
      <c r="C69" s="91"/>
      <c r="D69" s="92"/>
      <c r="E69" s="93"/>
      <c r="F69" s="112"/>
      <c r="G69" s="135"/>
      <c r="H69" s="135"/>
      <c r="I69" s="135"/>
      <c r="J69" s="135"/>
      <c r="K69" s="135"/>
      <c r="L69" s="136"/>
    </row>
    <row r="70" customFormat="false" ht="22.45" hidden="false" customHeight="true" outlineLevel="0" collapsed="false">
      <c r="A70" s="99"/>
      <c r="B70" s="91"/>
      <c r="C70" s="91"/>
      <c r="D70" s="92"/>
      <c r="E70" s="93"/>
      <c r="F70" s="94"/>
      <c r="G70" s="135"/>
      <c r="H70" s="135"/>
      <c r="I70" s="135"/>
      <c r="J70" s="135"/>
      <c r="K70" s="135"/>
      <c r="L70" s="136"/>
    </row>
    <row r="71" customFormat="false" ht="22.45" hidden="false" customHeight="true" outlineLevel="0" collapsed="false">
      <c r="A71" s="108"/>
      <c r="B71" s="91"/>
      <c r="C71" s="91"/>
      <c r="D71" s="92"/>
      <c r="E71" s="93"/>
      <c r="F71" s="94"/>
      <c r="G71" s="135"/>
      <c r="H71" s="135"/>
      <c r="I71" s="135"/>
      <c r="J71" s="135"/>
      <c r="K71" s="135"/>
      <c r="L71" s="136"/>
    </row>
    <row r="72" customFormat="false" ht="13.8" hidden="false" customHeight="true" outlineLevel="0" collapsed="false">
      <c r="A72" s="95"/>
      <c r="B72" s="115"/>
      <c r="C72" s="115"/>
      <c r="D72" s="92"/>
      <c r="E72" s="93"/>
      <c r="F72" s="94"/>
      <c r="G72" s="257"/>
      <c r="H72" s="135"/>
      <c r="I72" s="135"/>
      <c r="J72" s="135"/>
      <c r="K72" s="135"/>
      <c r="L72" s="136"/>
    </row>
    <row r="73" customFormat="false" ht="13.8" hidden="false" customHeight="false" outlineLevel="0" collapsed="false">
      <c r="A73" s="95"/>
      <c r="B73" s="115"/>
      <c r="C73" s="115"/>
      <c r="D73" s="92"/>
      <c r="E73" s="93"/>
      <c r="F73" s="94"/>
      <c r="G73" s="135"/>
      <c r="H73" s="135"/>
      <c r="I73" s="135"/>
      <c r="J73" s="135"/>
      <c r="K73" s="135"/>
      <c r="L73" s="136"/>
    </row>
    <row r="74" customFormat="false" ht="15" hidden="false" customHeight="false" outlineLevel="0" collapsed="false">
      <c r="A74" s="95"/>
      <c r="B74" s="115"/>
      <c r="C74" s="115"/>
      <c r="D74" s="92"/>
      <c r="E74" s="93"/>
      <c r="F74" s="94" t="s">
        <v>96</v>
      </c>
      <c r="G74" s="257"/>
      <c r="H74" s="135"/>
      <c r="I74" s="135"/>
      <c r="L74" s="136"/>
    </row>
    <row r="75" customFormat="false" ht="15" hidden="false" customHeight="false" outlineLevel="0" collapsed="false">
      <c r="A75" s="95"/>
      <c r="B75" s="91"/>
      <c r="C75" s="91"/>
      <c r="D75" s="92"/>
      <c r="E75" s="93"/>
      <c r="F75" s="94"/>
      <c r="G75" s="257"/>
      <c r="L75" s="136"/>
    </row>
    <row r="76" customFormat="false" ht="15" hidden="false" customHeight="false" outlineLevel="0" collapsed="false">
      <c r="A76" s="95"/>
      <c r="B76" s="91"/>
      <c r="C76" s="91"/>
      <c r="D76" s="92"/>
      <c r="E76" s="93"/>
      <c r="F76" s="94"/>
      <c r="G76" s="135"/>
      <c r="H76" s="135"/>
      <c r="I76" s="135"/>
      <c r="L76" s="136"/>
    </row>
    <row r="77" customFormat="false" ht="15" hidden="false" customHeight="false" outlineLevel="0" collapsed="false">
      <c r="A77" s="95"/>
      <c r="B77" s="91"/>
      <c r="C77" s="91"/>
      <c r="D77" s="92"/>
      <c r="E77" s="93"/>
      <c r="F77" s="94"/>
      <c r="L77" s="136"/>
    </row>
    <row r="78" customFormat="false" ht="15" hidden="false" customHeight="false" outlineLevel="0" collapsed="false">
      <c r="A78" s="229"/>
      <c r="B78" s="91"/>
      <c r="C78" s="91"/>
      <c r="D78" s="92"/>
      <c r="E78" s="111"/>
      <c r="F78" s="126"/>
      <c r="L78" s="136"/>
    </row>
    <row r="79" customFormat="false" ht="15" hidden="false" customHeight="false" outlineLevel="0" collapsed="false">
      <c r="A79" s="115"/>
      <c r="B79" s="91"/>
      <c r="C79" s="91"/>
      <c r="D79" s="92"/>
      <c r="E79" s="111"/>
      <c r="F79" s="94"/>
      <c r="L79" s="136"/>
    </row>
    <row r="80" customFormat="false" ht="15" hidden="false" customHeight="false" outlineLevel="0" collapsed="false">
      <c r="A80" s="115"/>
      <c r="B80" s="91"/>
      <c r="C80" s="91"/>
      <c r="D80" s="92"/>
      <c r="E80" s="111"/>
      <c r="F80" s="94"/>
      <c r="L80" s="136"/>
    </row>
    <row r="81" customFormat="false" ht="15" hidden="false" customHeight="false" outlineLevel="0" collapsed="false">
      <c r="A81" s="95"/>
      <c r="B81" s="91"/>
      <c r="C81" s="91"/>
      <c r="D81" s="92"/>
      <c r="E81" s="93"/>
      <c r="F81" s="94"/>
      <c r="L81" s="136"/>
    </row>
    <row r="82" customFormat="false" ht="15" hidden="false" customHeight="false" outlineLevel="0" collapsed="false">
      <c r="A82" s="95"/>
      <c r="B82" s="91"/>
      <c r="C82" s="91"/>
      <c r="D82" s="92"/>
      <c r="E82" s="93"/>
      <c r="F82" s="94"/>
      <c r="L82" s="136"/>
    </row>
    <row r="83" customFormat="false" ht="15" hidden="false" customHeight="false" outlineLevel="0" collapsed="false">
      <c r="A83" s="95"/>
      <c r="B83" s="91"/>
      <c r="C83" s="91"/>
      <c r="D83" s="92"/>
      <c r="E83" s="93"/>
      <c r="F83" s="94"/>
      <c r="H83" s="135"/>
      <c r="I83" s="135"/>
      <c r="L83" s="136"/>
    </row>
    <row r="84" customFormat="false" ht="15" hidden="false" customHeight="false" outlineLevel="0" collapsed="false">
      <c r="A84" s="183"/>
      <c r="B84" s="91"/>
      <c r="C84" s="91"/>
      <c r="D84" s="258"/>
      <c r="E84" s="259"/>
      <c r="F84" s="94"/>
      <c r="L84" s="136"/>
    </row>
    <row r="85" customFormat="false" ht="15" hidden="false" customHeight="false" outlineLevel="0" collapsed="false">
      <c r="A85" s="95"/>
      <c r="B85" s="91"/>
      <c r="C85" s="91"/>
      <c r="D85" s="92"/>
      <c r="E85" s="93"/>
      <c r="F85" s="94"/>
      <c r="L85" s="140"/>
    </row>
    <row r="86" customFormat="false" ht="15" hidden="false" customHeight="false" outlineLevel="0" collapsed="false">
      <c r="A86" s="95"/>
      <c r="B86" s="91"/>
      <c r="C86" s="91"/>
      <c r="D86" s="92"/>
      <c r="E86" s="93"/>
      <c r="F86" s="94"/>
      <c r="L86" s="140"/>
    </row>
    <row r="87" customFormat="false" ht="15" hidden="false" customHeight="false" outlineLevel="0" collapsed="false">
      <c r="A87" s="95"/>
      <c r="B87" s="91"/>
      <c r="C87" s="91"/>
      <c r="D87" s="92"/>
      <c r="E87" s="93"/>
      <c r="F87" s="94"/>
      <c r="L87" s="140"/>
    </row>
    <row r="88" customFormat="false" ht="15" hidden="false" customHeight="false" outlineLevel="0" collapsed="false">
      <c r="A88" s="95"/>
      <c r="B88" s="91"/>
      <c r="C88" s="91"/>
      <c r="D88" s="92"/>
      <c r="E88" s="93"/>
      <c r="F88" s="94"/>
      <c r="L88" s="140"/>
    </row>
    <row r="89" customFormat="false" ht="15" hidden="false" customHeight="false" outlineLevel="0" collapsed="false">
      <c r="A89" s="95"/>
      <c r="B89" s="91"/>
      <c r="C89" s="91"/>
      <c r="D89" s="92"/>
      <c r="E89" s="93"/>
      <c r="F89" s="94"/>
      <c r="L89" s="140"/>
    </row>
    <row r="90" customFormat="false" ht="15" hidden="false" customHeight="false" outlineLevel="0" collapsed="false">
      <c r="A90" s="95"/>
      <c r="B90" s="91"/>
      <c r="C90" s="91"/>
      <c r="D90" s="92"/>
      <c r="E90" s="93"/>
      <c r="F90" s="94"/>
      <c r="L90" s="140"/>
    </row>
  </sheetData>
  <mergeCells count="55">
    <mergeCell ref="B12:C12"/>
    <mergeCell ref="B13:C13"/>
    <mergeCell ref="B15:C15"/>
    <mergeCell ref="B17:C17"/>
    <mergeCell ref="B19:C19"/>
    <mergeCell ref="B21:C21"/>
    <mergeCell ref="B23:C23"/>
    <mergeCell ref="B25:C25"/>
    <mergeCell ref="B27:C27"/>
    <mergeCell ref="B29:C29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2:C62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dataValidations count="2">
    <dataValidation allowBlank="true" operator="equal" showDropDown="false" showErrorMessage="true" showInputMessage="true" sqref="D13:D47 D63:D90" type="list">
      <formula1>"Staff costs,Management,Research stays,Meetings &amp; events,Aladin Flat-rate LACE"</formula1>
      <formula2>0</formula2>
    </dataValidation>
    <dataValidation allowBlank="true" operator="equal" showDropDown="false" showErrorMessage="true" showInputMessage="true" sqref="E13:E47 E63:E90" type="list">
      <formula1>"1,2,3,4,5,6,7,8,9,10,11,12,13,14"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RowHeight="15" zeroHeight="false" outlineLevelRow="0" outlineLevelCol="0"/>
  <cols>
    <col collapsed="false" customWidth="true" hidden="false" outlineLevel="0" max="1" min="1" style="0" width="32.42"/>
    <col collapsed="false" customWidth="true" hidden="false" outlineLevel="0" max="3" min="2" style="0" width="18.71"/>
    <col collapsed="false" customWidth="true" hidden="false" outlineLevel="0" max="4" min="4" style="0" width="19.85"/>
    <col collapsed="false" customWidth="true" hidden="false" outlineLevel="0" max="5" min="5" style="0" width="18.12"/>
    <col collapsed="false" customWidth="true" hidden="false" outlineLevel="0" max="6" min="6" style="0" width="18.71"/>
    <col collapsed="false" customWidth="true" hidden="false" outlineLevel="0" max="7" min="7" style="0" width="15.71"/>
    <col collapsed="false" customWidth="true" hidden="false" outlineLevel="0" max="8" min="8" style="0" width="20.86"/>
    <col collapsed="false" customWidth="true" hidden="false" outlineLevel="0" max="10" min="9" style="0" width="15.71"/>
    <col collapsed="false" customWidth="true" hidden="false" outlineLevel="0" max="15" min="11" style="0" width="15.29"/>
    <col collapsed="false" customWidth="true" hidden="false" outlineLevel="0" max="16" min="16" style="0" width="14.15"/>
    <col collapsed="false" customWidth="false" hidden="false" outlineLevel="0" max="1025" min="17" style="0" width="11.42"/>
  </cols>
  <sheetData>
    <row r="1" customFormat="false" ht="15" hidden="false" customHeight="false" outlineLevel="0" collapsed="false">
      <c r="G1" s="83"/>
      <c r="H1" s="83"/>
      <c r="I1" s="83"/>
      <c r="J1" s="83"/>
    </row>
    <row r="2" customFormat="false" ht="21" hidden="false" customHeight="false" outlineLevel="0" collapsed="false">
      <c r="A2" s="1" t="s">
        <v>253</v>
      </c>
    </row>
    <row r="3" customFormat="false" ht="15" hidden="false" customHeight="false" outlineLevel="0" collapsed="false">
      <c r="A3" s="84"/>
      <c r="B3" s="84" t="n">
        <v>1</v>
      </c>
      <c r="C3" s="84" t="n">
        <v>2</v>
      </c>
      <c r="D3" s="84" t="n">
        <v>3</v>
      </c>
      <c r="E3" s="84" t="n">
        <v>4</v>
      </c>
      <c r="F3" s="84" t="n">
        <v>5</v>
      </c>
      <c r="G3" s="84" t="n">
        <v>6</v>
      </c>
      <c r="H3" s="84" t="n">
        <v>7</v>
      </c>
      <c r="I3" s="84" t="n">
        <v>8</v>
      </c>
      <c r="J3" s="84" t="s">
        <v>14</v>
      </c>
    </row>
    <row r="4" customFormat="false" ht="13.8" hidden="false" customHeight="false" outlineLevel="0" collapsed="false">
      <c r="A4" s="85"/>
      <c r="B4" s="86" t="s">
        <v>254</v>
      </c>
      <c r="C4" s="86" t="s">
        <v>254</v>
      </c>
      <c r="D4" s="86" t="s">
        <v>254</v>
      </c>
      <c r="E4" s="86" t="s">
        <v>254</v>
      </c>
      <c r="F4" s="86" t="s">
        <v>254</v>
      </c>
      <c r="G4" s="86" t="s">
        <v>255</v>
      </c>
      <c r="H4" s="86" t="s">
        <v>256</v>
      </c>
      <c r="I4" s="86" t="s">
        <v>257</v>
      </c>
      <c r="J4" s="85"/>
    </row>
    <row r="5" customFormat="false" ht="15" hidden="false" customHeight="false" outlineLevel="0" collapsed="false">
      <c r="A5" s="60" t="s">
        <v>81</v>
      </c>
      <c r="B5" s="87" t="n">
        <f aca="false">SUMIFS($F13:$F22,$D13:$D22,"Staff costs",$E13:$E22,"1")</f>
        <v>0</v>
      </c>
      <c r="C5" s="87" t="n">
        <f aca="false">SUMIFS($F13:$F22,$D13:$D22,"Staff costs",$E13:$E22,"2")</f>
        <v>0</v>
      </c>
      <c r="D5" s="87" t="n">
        <f aca="false">SUMIFS($F13:$F22,$D13:$D22,"Staff costs",$E13:$E22,"3")</f>
        <v>0</v>
      </c>
      <c r="E5" s="87" t="n">
        <f aca="false">SUMIFS($F13:$F22,$D13:$D22,"Staff costs",$E13:$E22,"4")</f>
        <v>0</v>
      </c>
      <c r="F5" s="87" t="n">
        <f aca="false">SUMIFS($F13:$F22,$D13:$D22,"Staff costs",$E13:$E22,"5")</f>
        <v>0</v>
      </c>
      <c r="G5" s="87" t="n">
        <f aca="false">SUMIFS($F13:$F22,$D13:$D22,"Staff costs",$E13:$E22,"6")</f>
        <v>2000</v>
      </c>
      <c r="H5" s="87" t="n">
        <f aca="false">SUMIFS($F13:$F22,$D13:$D22,"Staff costs",$E13:$E22,"7")</f>
        <v>800</v>
      </c>
      <c r="I5" s="87" t="n">
        <f aca="false">SUMIFS($F13:$F22,$D13:$D22,"Staff costs",$E13:$E22,"8")</f>
        <v>0</v>
      </c>
      <c r="J5" s="87" t="n">
        <f aca="false">SUM(B5:I5)</f>
        <v>2800</v>
      </c>
    </row>
    <row r="6" customFormat="false" ht="15" hidden="false" customHeight="false" outlineLevel="0" collapsed="false">
      <c r="A6" s="60" t="s">
        <v>84</v>
      </c>
      <c r="B6" s="87" t="n">
        <f aca="false">SUMIFS($F13:$F22,$D13:$D22,"Management",$E13:$E22,"1")</f>
        <v>0</v>
      </c>
      <c r="C6" s="87" t="n">
        <f aca="false">SUMIFS($F13:$F22,$D13:$D22,"Management",$E13:$E22,"2")</f>
        <v>0</v>
      </c>
      <c r="D6" s="87" t="n">
        <f aca="false">SUMIFS($F13:$F22,$D13:$D22,"Management",$E13:$E22,"3")</f>
        <v>0</v>
      </c>
      <c r="E6" s="87" t="n">
        <f aca="false">SUMIFS($F13:$F22,$D13:$D22,"Management",$E13:$E22,"4")</f>
        <v>0</v>
      </c>
      <c r="F6" s="87" t="n">
        <f aca="false">SUMIFS($F13:$F22,$D13:$D22,"Management",$E13:$E22,"5")</f>
        <v>0</v>
      </c>
      <c r="G6" s="87" t="n">
        <f aca="false">SUMIFS($F13:$F22,$D13:$D22,"Management",$E13:$E22,"6")</f>
        <v>0</v>
      </c>
      <c r="H6" s="87" t="n">
        <f aca="false">SUMIFS($F13:$F22,$D13:$D22,"Management",$E13:$E22,"7")</f>
        <v>0</v>
      </c>
      <c r="I6" s="87" t="n">
        <f aca="false">SUMIFS($F13:$F22,$D13:$D22,"Management",$E13:$E22,"8")</f>
        <v>0</v>
      </c>
      <c r="J6" s="87" t="n">
        <f aca="false">SUM(B6:I6)</f>
        <v>0</v>
      </c>
    </row>
    <row r="7" customFormat="false" ht="15" hidden="false" customHeight="false" outlineLevel="0" collapsed="false">
      <c r="A7" s="60" t="s">
        <v>52</v>
      </c>
      <c r="B7" s="87" t="n">
        <f aca="false">SUMIFS($F13:$F22,$D13:$D22,"Research stays",$E13:$E22,"1")</f>
        <v>13200</v>
      </c>
      <c r="C7" s="87" t="n">
        <f aca="false">SUMIFS($F13:$F22,$D13:$D22,"Research stays",$E13:$E22,"2")</f>
        <v>0</v>
      </c>
      <c r="D7" s="87" t="n">
        <f aca="false">SUMIFS($F13:$F22,$D13:$D22,"Research stays",$E13:$E22,"3")</f>
        <v>0</v>
      </c>
      <c r="E7" s="87" t="n">
        <f aca="false">SUMIFS($F13:$F22,$D13:$D22,"Research stays",$E13:$E22,"4")</f>
        <v>0</v>
      </c>
      <c r="F7" s="87" t="n">
        <f aca="false">SUMIFS($F13:$F22,$D13:$D22,"Research stays",$E13:$E22,"5")</f>
        <v>0</v>
      </c>
      <c r="G7" s="87" t="n">
        <f aca="false">SUMIFS($F13:$F22,$D13:$D22,"Research stays",$E13:$E22,"6")</f>
        <v>0</v>
      </c>
      <c r="H7" s="87" t="n">
        <f aca="false">SUMIFS($F13:$F22,$D13:$D22,"Research stays",$E13:$E22,"7")</f>
        <v>0</v>
      </c>
      <c r="I7" s="87" t="n">
        <f aca="false">SUMIFS($F13:$F22,$D13:$D22,"Research stays",$E13:$E22,"8")</f>
        <v>0</v>
      </c>
      <c r="J7" s="87" t="n">
        <f aca="false">SUM(B7:I7)</f>
        <v>13200</v>
      </c>
    </row>
    <row r="8" customFormat="false" ht="15" hidden="false" customHeight="false" outlineLevel="0" collapsed="false">
      <c r="A8" s="60" t="s">
        <v>258</v>
      </c>
      <c r="B8" s="87" t="n">
        <f aca="false">SUMIFS($F13:$F22,$D13:$D22,"Meetings &amp; events",$E13:$E22,"1")</f>
        <v>0</v>
      </c>
      <c r="C8" s="87" t="n">
        <f aca="false">SUMIFS($F13:$F22,$D13:$D22,"Meetings &amp; events",$E13:$E22,"2")</f>
        <v>0</v>
      </c>
      <c r="D8" s="87" t="n">
        <f aca="false">SUMIFS($F13:$F22,$D13:$D22,"Meetings &amp; events",$E13:$E22,"3")</f>
        <v>0</v>
      </c>
      <c r="E8" s="87" t="n">
        <f aca="false">SUMIFS($F13:$F22,$D13:$D22,"Meetings &amp; events",$E13:$E22,"4")</f>
        <v>0</v>
      </c>
      <c r="F8" s="87" t="n">
        <f aca="false">SUMIFS($F13:$F22,$D13:$D22,"Meetings &amp; events",$E13:$E22,"5")</f>
        <v>0</v>
      </c>
      <c r="G8" s="87" t="n">
        <f aca="false">SUMIFS($F13:$F22,$D13:$D22,"Meetings &amp; events",$E13:$E22,"6")</f>
        <v>0</v>
      </c>
      <c r="H8" s="87" t="n">
        <f aca="false">SUMIFS($F13:$F22,$D13:$D22,"Meetings &amp; events",$E13:$E22,"7")</f>
        <v>0</v>
      </c>
      <c r="I8" s="87" t="n">
        <f aca="false">SUMIFS($F13:$F22,$D13:$D22,"Meetings &amp; events",$E13:$E22,"8")</f>
        <v>9375</v>
      </c>
      <c r="J8" s="87" t="n">
        <f aca="false">SUM(B8:I8)</f>
        <v>9375</v>
      </c>
    </row>
    <row r="9" customFormat="false" ht="15.75" hidden="false" customHeight="false" outlineLevel="0" collapsed="false">
      <c r="A9" s="60" t="s">
        <v>52</v>
      </c>
      <c r="B9" s="88" t="n">
        <v>0</v>
      </c>
      <c r="C9" s="88" t="n">
        <v>0</v>
      </c>
      <c r="D9" s="88" t="n">
        <v>0</v>
      </c>
      <c r="E9" s="88" t="n">
        <v>0</v>
      </c>
      <c r="F9" s="88" t="n">
        <v>0</v>
      </c>
      <c r="G9" s="88" t="n">
        <f aca="false">SUMIFS($F13:$F22,$D13:$D22,"Aladin Flat-rate LACE",$E13:$E22,"6")</f>
        <v>0</v>
      </c>
      <c r="H9" s="88" t="n">
        <f aca="false">SUMIFS($F13:$F22,$D13:$D22,"Aladin Flat-rate LACE",$E13:$E22,"7")</f>
        <v>0</v>
      </c>
      <c r="I9" s="88" t="n">
        <f aca="false">SUMIFS($F13:$F22,$D13:$D22,"Aladin Flat-rate LACE",$E13:$E22,"8")</f>
        <v>0</v>
      </c>
      <c r="J9" s="88" t="n">
        <f aca="false">SUM(B9:I9)</f>
        <v>0</v>
      </c>
    </row>
    <row r="10" customFormat="false" ht="15" hidden="false" customHeight="false" outlineLevel="0" collapsed="false">
      <c r="A10" s="70" t="s">
        <v>14</v>
      </c>
      <c r="B10" s="89" t="n">
        <f aca="false">SUM(B5:B9)</f>
        <v>13200</v>
      </c>
      <c r="C10" s="89" t="n">
        <f aca="false">SUM(C5:C9)</f>
        <v>0</v>
      </c>
      <c r="D10" s="89" t="n">
        <f aca="false">SUM(D5:D9)</f>
        <v>0</v>
      </c>
      <c r="E10" s="89" t="n">
        <f aca="false">SUM(E5:E9)</f>
        <v>0</v>
      </c>
      <c r="F10" s="89" t="n">
        <f aca="false">SUM(F5:F9)</f>
        <v>0</v>
      </c>
      <c r="G10" s="89" t="n">
        <f aca="false">SUM(G5:G9)</f>
        <v>2000</v>
      </c>
      <c r="H10" s="89" t="n">
        <f aca="false">SUM(H5:H9)</f>
        <v>800</v>
      </c>
      <c r="I10" s="89" t="n">
        <f aca="false">SUM(I5:I9)</f>
        <v>9375</v>
      </c>
      <c r="J10" s="89" t="n">
        <f aca="false">SUM(B10:I10)</f>
        <v>25375</v>
      </c>
    </row>
    <row r="12" customFormat="false" ht="15" hidden="false" customHeight="false" outlineLevel="0" collapsed="false">
      <c r="A12" s="57" t="s">
        <v>74</v>
      </c>
      <c r="B12" s="57" t="s">
        <v>75</v>
      </c>
      <c r="C12" s="57"/>
      <c r="D12" s="57" t="s">
        <v>76</v>
      </c>
      <c r="E12" s="57" t="s">
        <v>77</v>
      </c>
      <c r="F12" s="57" t="s">
        <v>78</v>
      </c>
      <c r="L12" s="247"/>
      <c r="M12" s="247"/>
      <c r="N12" s="247"/>
      <c r="O12" s="247"/>
    </row>
    <row r="13" customFormat="false" ht="15" hidden="false" customHeight="true" outlineLevel="0" collapsed="false">
      <c r="A13" s="260"/>
      <c r="B13" s="261"/>
      <c r="C13" s="261"/>
      <c r="D13" s="262"/>
      <c r="E13" s="263"/>
      <c r="F13" s="264"/>
      <c r="G13" s="13"/>
    </row>
    <row r="14" customFormat="false" ht="15" hidden="false" customHeight="true" outlineLevel="0" collapsed="false">
      <c r="A14" s="260" t="s">
        <v>259</v>
      </c>
      <c r="B14" s="261"/>
      <c r="C14" s="261"/>
      <c r="D14" s="262" t="s">
        <v>93</v>
      </c>
      <c r="E14" s="263" t="n">
        <v>1</v>
      </c>
      <c r="F14" s="264" t="n">
        <v>13200</v>
      </c>
      <c r="G14" s="265" t="s">
        <v>260</v>
      </c>
    </row>
    <row r="15" customFormat="false" ht="15" hidden="false" customHeight="true" outlineLevel="0" collapsed="false">
      <c r="A15" s="266" t="s">
        <v>255</v>
      </c>
      <c r="B15" s="163"/>
      <c r="C15" s="163"/>
      <c r="D15" s="195" t="s">
        <v>81</v>
      </c>
      <c r="E15" s="164" t="n">
        <v>6</v>
      </c>
      <c r="F15" s="116" t="n">
        <v>2000</v>
      </c>
      <c r="G15" s="267"/>
      <c r="H15" s="101"/>
      <c r="I15" s="102"/>
      <c r="J15" s="101"/>
      <c r="K15" s="101"/>
      <c r="L15" s="102"/>
    </row>
    <row r="16" customFormat="false" ht="15" hidden="false" customHeight="true" outlineLevel="0" collapsed="false">
      <c r="A16" s="266" t="s">
        <v>256</v>
      </c>
      <c r="B16" s="163"/>
      <c r="C16" s="163"/>
      <c r="D16" s="195" t="s">
        <v>81</v>
      </c>
      <c r="E16" s="164" t="n">
        <v>7</v>
      </c>
      <c r="F16" s="116" t="n">
        <v>800</v>
      </c>
    </row>
    <row r="17" customFormat="false" ht="15" hidden="false" customHeight="true" outlineLevel="0" collapsed="false">
      <c r="A17" s="266" t="s">
        <v>261</v>
      </c>
      <c r="B17" s="163"/>
      <c r="C17" s="163"/>
      <c r="D17" s="195" t="s">
        <v>95</v>
      </c>
      <c r="E17" s="164" t="n">
        <v>8</v>
      </c>
      <c r="F17" s="116" t="n">
        <v>3375</v>
      </c>
      <c r="G17" s="11"/>
    </row>
    <row r="18" customFormat="false" ht="13.8" hidden="false" customHeight="false" outlineLevel="0" collapsed="false">
      <c r="A18" s="266" t="s">
        <v>262</v>
      </c>
      <c r="B18" s="163"/>
      <c r="C18" s="163"/>
      <c r="D18" s="195" t="s">
        <v>95</v>
      </c>
      <c r="E18" s="164" t="n">
        <v>8</v>
      </c>
      <c r="F18" s="116" t="n">
        <v>6000</v>
      </c>
    </row>
    <row r="19" customFormat="false" ht="15" hidden="false" customHeight="false" outlineLevel="0" collapsed="false">
      <c r="A19" s="170"/>
      <c r="B19" s="163"/>
      <c r="C19" s="163"/>
      <c r="D19" s="195"/>
      <c r="E19" s="164"/>
      <c r="F19" s="116"/>
      <c r="G19" s="47"/>
    </row>
    <row r="20" customFormat="false" ht="15" hidden="false" customHeight="false" outlineLevel="0" collapsed="false">
      <c r="A20" s="95"/>
      <c r="B20" s="163"/>
      <c r="C20" s="163"/>
      <c r="D20" s="195"/>
      <c r="E20" s="164"/>
      <c r="F20" s="116"/>
      <c r="G20" s="11"/>
    </row>
    <row r="21" customFormat="false" ht="15" hidden="false" customHeight="false" outlineLevel="0" collapsed="false">
      <c r="A21" s="95"/>
      <c r="B21" s="163"/>
      <c r="C21" s="163"/>
      <c r="D21" s="195"/>
      <c r="E21" s="164"/>
      <c r="F21" s="94"/>
      <c r="G21" s="13"/>
    </row>
    <row r="22" customFormat="false" ht="15" hidden="false" customHeight="false" outlineLevel="0" collapsed="false">
      <c r="A22" s="95"/>
      <c r="B22" s="91"/>
      <c r="C22" s="91"/>
      <c r="D22" s="92"/>
      <c r="E22" s="93"/>
      <c r="F22" s="94"/>
    </row>
    <row r="23" customFormat="false" ht="15" hidden="false" customHeight="false" outlineLevel="0" collapsed="false">
      <c r="A23" s="127" t="s">
        <v>98</v>
      </c>
      <c r="B23" s="128" t="s">
        <v>99</v>
      </c>
      <c r="C23" s="129" t="s">
        <v>100</v>
      </c>
      <c r="F23" s="0" t="n">
        <f aca="false">SUM(F13:F22)</f>
        <v>25375</v>
      </c>
    </row>
    <row r="27" customFormat="false" ht="21" hidden="false" customHeight="false" outlineLevel="0" collapsed="false">
      <c r="A27" s="1" t="s">
        <v>263</v>
      </c>
    </row>
    <row r="28" customFormat="false" ht="15" hidden="false" customHeight="false" outlineLevel="0" collapsed="false">
      <c r="A28" s="130"/>
      <c r="B28" s="130" t="n">
        <v>1</v>
      </c>
      <c r="C28" s="130" t="n">
        <v>2</v>
      </c>
      <c r="D28" s="130" t="n">
        <v>3</v>
      </c>
      <c r="E28" s="130" t="n">
        <v>4</v>
      </c>
      <c r="F28" s="130" t="n">
        <v>5</v>
      </c>
      <c r="G28" s="130" t="n">
        <v>6</v>
      </c>
      <c r="H28" s="130" t="n">
        <v>7</v>
      </c>
      <c r="I28" s="130" t="n">
        <v>8</v>
      </c>
      <c r="J28" s="130" t="s">
        <v>14</v>
      </c>
    </row>
    <row r="29" customFormat="false" ht="15" hidden="false" customHeight="false" outlineLevel="0" collapsed="false">
      <c r="A29" s="131"/>
      <c r="B29" s="132" t="s">
        <v>254</v>
      </c>
      <c r="C29" s="132" t="s">
        <v>254</v>
      </c>
      <c r="D29" s="132" t="s">
        <v>254</v>
      </c>
      <c r="E29" s="132" t="s">
        <v>254</v>
      </c>
      <c r="F29" s="132" t="s">
        <v>254</v>
      </c>
      <c r="G29" s="132"/>
      <c r="H29" s="132"/>
      <c r="I29" s="132"/>
      <c r="J29" s="131"/>
    </row>
    <row r="30" customFormat="false" ht="15" hidden="false" customHeight="false" outlineLevel="0" collapsed="false">
      <c r="A30" s="78"/>
      <c r="B30" s="87" t="n">
        <f aca="false">SUMIFS($F38:$F62,$D38:$D62,"Staff costs",$E38:$E62,"1")</f>
        <v>0</v>
      </c>
      <c r="C30" s="87" t="n">
        <f aca="false">SUMIFS($F38:$F62,$D38:$D62,"Staff costs",$E38:$E62,"2")</f>
        <v>0</v>
      </c>
      <c r="D30" s="87" t="n">
        <f aca="false">SUMIFS($F38:$F62,$D38:$D62,"Staff costs",$E38:$E62,"3")</f>
        <v>0</v>
      </c>
      <c r="E30" s="87" t="n">
        <f aca="false">SUMIFS($F38:$F62,$D38:$D62,"Staff costs",$E38:$E62,"4")</f>
        <v>0</v>
      </c>
      <c r="F30" s="87" t="n">
        <f aca="false">SUMIFS($F38:$F62,$D38:$D62,"Staff costs",$E38:$E62,"5")</f>
        <v>0</v>
      </c>
      <c r="G30" s="87" t="n">
        <f aca="false">SUMIFS($F38:$F62,$D38:$D62,"Staff costs",$E38:$E62,"6")</f>
        <v>0</v>
      </c>
      <c r="H30" s="87" t="n">
        <f aca="false">SUMIFS($F38:$F62,$D38:$D62,"Staff costs",$E38:$E62,"7")</f>
        <v>0</v>
      </c>
      <c r="I30" s="87" t="n">
        <f aca="false">SUMIFS($F38:$F62,$D38:$D62,"Staff costs",$E38:$E62,"8")</f>
        <v>0</v>
      </c>
      <c r="J30" s="87" t="n">
        <f aca="false">SUM(B30:I30)</f>
        <v>0</v>
      </c>
    </row>
    <row r="31" customFormat="false" ht="15" hidden="false" customHeight="false" outlineLevel="0" collapsed="false">
      <c r="A31" s="78"/>
      <c r="B31" s="87" t="n">
        <f aca="false">SUMIFS($F38:$F62,$D38:$D62,"Management",$E38:$E62,"1")</f>
        <v>0</v>
      </c>
      <c r="C31" s="87" t="n">
        <f aca="false">SUMIFS($F38:$F62,$D38:$D62,"Management",$E38:$E62,"2")</f>
        <v>0</v>
      </c>
      <c r="D31" s="87" t="n">
        <f aca="false">SUMIFS($F38:$F62,$D38:$D62,"Management",$E38:$E62,"3")</f>
        <v>0</v>
      </c>
      <c r="E31" s="87" t="n">
        <f aca="false">SUMIFS($F38:$F62,$D38:$D62,"Management",$E38:$E62,"4")</f>
        <v>0</v>
      </c>
      <c r="F31" s="87" t="n">
        <f aca="false">SUMIFS($F38:$F62,$D38:$D62,"Management",$E38:$E62,"5")</f>
        <v>0</v>
      </c>
      <c r="G31" s="87" t="n">
        <f aca="false">SUMIFS($F38:$F62,$D38:$D62,"Management",$E38:$E62,"6")</f>
        <v>0</v>
      </c>
      <c r="H31" s="87" t="n">
        <f aca="false">SUMIFS($F38:$F62,$D38:$D62,"Management",$E38:$E62,"7")</f>
        <v>0</v>
      </c>
      <c r="I31" s="87" t="n">
        <f aca="false">SUMIFS($F38:$F62,$D38:$D62,"Management",$E38:$E62,"8")</f>
        <v>0</v>
      </c>
      <c r="J31" s="87" t="n">
        <f aca="false">SUM(B31:I31)</f>
        <v>0</v>
      </c>
    </row>
    <row r="32" customFormat="false" ht="15" hidden="false" customHeight="false" outlineLevel="0" collapsed="false">
      <c r="A32" s="78"/>
      <c r="B32" s="87" t="n">
        <f aca="false">SUMIFS($F38:$F62,$D38:$D62,"Research stays",$E38:$E62,"1")</f>
        <v>0</v>
      </c>
      <c r="C32" s="87" t="n">
        <f aca="false">SUMIFS($F38:$F62,$D38:$D62,"Research stays",$E38:$E62,"2")</f>
        <v>0</v>
      </c>
      <c r="D32" s="87" t="n">
        <f aca="false">SUMIFS($F38:$F62,$D38:$D62,"Research stays",$E38:$E62,"3")</f>
        <v>0</v>
      </c>
      <c r="E32" s="87" t="n">
        <f aca="false">SUMIFS($F38:$F62,$D38:$D62,"Research stays",$E38:$E62,"4")</f>
        <v>0</v>
      </c>
      <c r="F32" s="87" t="n">
        <f aca="false">SUMIFS($F38:$F62,$D38:$D62,"Research stays",$E38:$E62,"5")</f>
        <v>0</v>
      </c>
      <c r="G32" s="87" t="n">
        <f aca="false">SUMIFS($F38:$F62,$D38:$D62,"Research stays",$E38:$E62,"6")</f>
        <v>0</v>
      </c>
      <c r="H32" s="87" t="n">
        <f aca="false">SUMIFS($F38:$F62,$D38:$D62,"Research stays",$E38:$E62,"7")</f>
        <v>0</v>
      </c>
      <c r="I32" s="87" t="n">
        <f aca="false">SUMIFS($F38:$F62,$D38:$D62,"Research stays",$E38:$E62,"8")</f>
        <v>0</v>
      </c>
      <c r="J32" s="87" t="n">
        <f aca="false">SUM(B32:I32)</f>
        <v>0</v>
      </c>
    </row>
    <row r="33" customFormat="false" ht="15" hidden="false" customHeight="false" outlineLevel="0" collapsed="false">
      <c r="A33" s="78"/>
      <c r="B33" s="87" t="n">
        <f aca="false">SUMIFS($F38:$F62,$D38:$D62,"Meetings &amp; events",$E38:$E62,"1")</f>
        <v>0</v>
      </c>
      <c r="C33" s="87" t="n">
        <f aca="false">SUMIFS($F38:$F62,$D38:$D62,"Meetings &amp; events",$E38:$E62,"2")</f>
        <v>0</v>
      </c>
      <c r="D33" s="87" t="n">
        <f aca="false">SUMIFS($F38:$F62,$D38:$D62,"Meetings &amp; events",$E38:$E62,"3")</f>
        <v>0</v>
      </c>
      <c r="E33" s="87" t="n">
        <f aca="false">SUMIFS($F38:$F62,$D38:$D62,"Meetings &amp; events",$E38:$E62,"4")</f>
        <v>0</v>
      </c>
      <c r="F33" s="87" t="n">
        <f aca="false">SUMIFS($F38:$F62,$D38:$D62,"Meetings &amp; events",$E38:$E62,"5")</f>
        <v>0</v>
      </c>
      <c r="G33" s="87" t="n">
        <f aca="false">SUMIFS($F38:$F62,$D38:$D62,"Meetings &amp; events",$E38:$E62,"6")</f>
        <v>0</v>
      </c>
      <c r="H33" s="87" t="n">
        <f aca="false">SUMIFS($F38:$F62,$D38:$D62,"Meetings &amp; events",$E38:$E62,"7")</f>
        <v>0</v>
      </c>
      <c r="I33" s="87" t="n">
        <f aca="false">SUMIFS($F38:$F62,$D38:$D62,"Meetings &amp; events",$E38:$E62,"8")</f>
        <v>0</v>
      </c>
      <c r="J33" s="87" t="n">
        <f aca="false">SUM(B33:I33)</f>
        <v>0</v>
      </c>
    </row>
    <row r="34" customFormat="false" ht="15.75" hidden="false" customHeight="false" outlineLevel="0" collapsed="false">
      <c r="A34" s="78" t="s">
        <v>52</v>
      </c>
      <c r="B34" s="88" t="n">
        <f aca="false">SUMIFS($F38:$F62,$D38:$D62,"Aladin Flat-rate LACE",$E38:$E62,"1")</f>
        <v>0</v>
      </c>
      <c r="C34" s="88" t="n">
        <f aca="false">SUMIFS($F38:$F62,$D38:$D62,"Aladin Flat-rate LACE",$E38:$E62,"2")</f>
        <v>0</v>
      </c>
      <c r="D34" s="88" t="n">
        <f aca="false">SUMIFS($F38:$F62,$D38:$D62,"Aladin Flat-rate LACE",$E38:$E62,"3")</f>
        <v>0</v>
      </c>
      <c r="E34" s="88" t="n">
        <f aca="false">SUMIFS($F38:$F62,$D38:$D62,"Aladin Flat-rate LACE",$E38:$E62,"4")</f>
        <v>0</v>
      </c>
      <c r="F34" s="88" t="n">
        <f aca="false">SUMIFS($F38:$F62,$D38:$D62,"Aladin Flat-rate LACE",$E38:$E62,"5")</f>
        <v>0</v>
      </c>
      <c r="G34" s="88" t="n">
        <f aca="false">SUMIFS($F38:$F62,$D38:$D62,"Aladin Flat-rate LACE",$E38:$E62,"6")</f>
        <v>0</v>
      </c>
      <c r="H34" s="88" t="n">
        <f aca="false">SUMIFS($F38:$F62,$D38:$D62,"Aladin Flat-rate LACE",$E38:$E62,"7")</f>
        <v>0</v>
      </c>
      <c r="I34" s="88" t="n">
        <f aca="false">SUMIFS($F38:$F62,$D38:$D62,"Aladin Flat-rate LACE",$E38:$E62,"8")</f>
        <v>0</v>
      </c>
      <c r="J34" s="88" t="n">
        <f aca="false">SUM(B34:I34)</f>
        <v>0</v>
      </c>
    </row>
    <row r="35" customFormat="false" ht="15" hidden="false" customHeight="false" outlineLevel="0" collapsed="false">
      <c r="A35" s="81" t="s">
        <v>14</v>
      </c>
      <c r="B35" s="89" t="n">
        <f aca="false">SUM(B30:B34)</f>
        <v>0</v>
      </c>
      <c r="C35" s="89" t="n">
        <f aca="false">SUM(C30:C34)</f>
        <v>0</v>
      </c>
      <c r="D35" s="89" t="n">
        <f aca="false">SUM(D30:D34)</f>
        <v>0</v>
      </c>
      <c r="E35" s="89" t="n">
        <f aca="false">SUM(E30:E34)</f>
        <v>0</v>
      </c>
      <c r="F35" s="89" t="n">
        <f aca="false">SUM(F30:F34)</f>
        <v>0</v>
      </c>
      <c r="G35" s="89" t="n">
        <f aca="false">SUM(G30:G34)</f>
        <v>0</v>
      </c>
      <c r="H35" s="89" t="n">
        <f aca="false">SUM(H30:H34)</f>
        <v>0</v>
      </c>
      <c r="I35" s="89" t="n">
        <f aca="false">SUM(I30:I34)</f>
        <v>0</v>
      </c>
      <c r="J35" s="89" t="n">
        <f aca="false">SUM(B35:I35)</f>
        <v>0</v>
      </c>
    </row>
    <row r="37" customFormat="false" ht="15" hidden="false" customHeight="false" outlineLevel="0" collapsed="false">
      <c r="A37" s="76" t="s">
        <v>105</v>
      </c>
      <c r="B37" s="76" t="s">
        <v>75</v>
      </c>
      <c r="C37" s="76"/>
      <c r="D37" s="76" t="s">
        <v>76</v>
      </c>
      <c r="E37" s="76" t="s">
        <v>77</v>
      </c>
      <c r="F37" s="76" t="s">
        <v>4</v>
      </c>
      <c r="G37" s="133" t="s">
        <v>106</v>
      </c>
      <c r="H37" s="133" t="s">
        <v>127</v>
      </c>
      <c r="I37" s="133" t="s">
        <v>108</v>
      </c>
      <c r="J37" s="133" t="s">
        <v>109</v>
      </c>
      <c r="K37" s="133" t="s">
        <v>110</v>
      </c>
      <c r="L37" s="134" t="s">
        <v>111</v>
      </c>
      <c r="M37" s="137"/>
      <c r="N37" s="137"/>
      <c r="O37" s="137"/>
    </row>
    <row r="38" customFormat="false" ht="15" hidden="false" customHeight="true" outlineLevel="0" collapsed="false">
      <c r="A38" s="95"/>
      <c r="B38" s="115"/>
      <c r="C38" s="115"/>
      <c r="D38" s="92"/>
      <c r="E38" s="93"/>
      <c r="F38" s="94"/>
      <c r="G38" s="135"/>
      <c r="H38" s="135"/>
      <c r="I38" s="135"/>
      <c r="J38" s="135"/>
      <c r="K38" s="135"/>
      <c r="L38" s="135"/>
    </row>
    <row r="39" customFormat="false" ht="15" hidden="false" customHeight="true" outlineLevel="0" collapsed="false">
      <c r="A39" s="95"/>
      <c r="B39" s="115"/>
      <c r="C39" s="115"/>
      <c r="D39" s="92"/>
      <c r="E39" s="93"/>
      <c r="F39" s="94"/>
      <c r="G39" s="135"/>
      <c r="H39" s="135"/>
      <c r="I39" s="135"/>
      <c r="J39" s="135"/>
      <c r="K39" s="135"/>
      <c r="L39" s="135"/>
    </row>
    <row r="40" customFormat="false" ht="22.35" hidden="false" customHeight="true" outlineLevel="0" collapsed="false">
      <c r="A40" s="115"/>
      <c r="B40" s="115"/>
      <c r="C40" s="115"/>
      <c r="D40" s="92"/>
      <c r="E40" s="93"/>
      <c r="F40" s="94"/>
      <c r="G40" s="230"/>
      <c r="H40" s="169"/>
      <c r="I40" s="135"/>
      <c r="J40" s="135"/>
      <c r="K40" s="135"/>
      <c r="L40" s="241"/>
    </row>
    <row r="41" customFormat="false" ht="15" hidden="false" customHeight="false" outlineLevel="0" collapsed="false">
      <c r="A41" s="95"/>
      <c r="B41" s="115"/>
      <c r="C41" s="115"/>
      <c r="D41" s="92"/>
      <c r="E41" s="93"/>
      <c r="F41" s="94"/>
      <c r="G41" s="101"/>
      <c r="H41" s="135"/>
      <c r="I41" s="135"/>
      <c r="J41" s="135"/>
      <c r="K41" s="135"/>
    </row>
    <row r="42" customFormat="false" ht="15" hidden="false" customHeight="false" outlineLevel="0" collapsed="false">
      <c r="A42" s="115"/>
      <c r="B42" s="115"/>
      <c r="C42" s="115"/>
      <c r="D42" s="92"/>
      <c r="E42" s="93"/>
      <c r="F42" s="94"/>
      <c r="G42" s="230"/>
      <c r="H42" s="169"/>
      <c r="I42" s="135"/>
      <c r="J42" s="135"/>
      <c r="K42" s="135"/>
    </row>
    <row r="43" customFormat="false" ht="15" hidden="false" customHeight="false" outlineLevel="0" collapsed="false">
      <c r="A43" s="115"/>
      <c r="B43" s="115"/>
      <c r="C43" s="115"/>
      <c r="D43" s="92"/>
      <c r="E43" s="93"/>
      <c r="F43" s="94"/>
      <c r="H43" s="135"/>
      <c r="I43" s="135"/>
      <c r="J43" s="135"/>
      <c r="K43" s="135"/>
    </row>
    <row r="44" customFormat="false" ht="15" hidden="false" customHeight="false" outlineLevel="0" collapsed="false">
      <c r="A44" s="115"/>
      <c r="B44" s="115"/>
      <c r="C44" s="115"/>
      <c r="D44" s="92"/>
      <c r="E44" s="93"/>
      <c r="F44" s="94"/>
      <c r="H44" s="135"/>
      <c r="I44" s="135"/>
      <c r="J44" s="135"/>
      <c r="K44" s="135"/>
    </row>
    <row r="45" customFormat="false" ht="15" hidden="false" customHeight="false" outlineLevel="0" collapsed="false">
      <c r="A45" s="141"/>
      <c r="B45" s="115"/>
      <c r="C45" s="115"/>
      <c r="D45" s="92"/>
      <c r="E45" s="93"/>
      <c r="F45" s="94"/>
      <c r="G45" s="142"/>
      <c r="H45" s="135"/>
      <c r="I45" s="135"/>
      <c r="J45" s="135"/>
      <c r="K45" s="135"/>
    </row>
    <row r="46" customFormat="false" ht="15" hidden="false" customHeight="false" outlineLevel="0" collapsed="false">
      <c r="A46" s="99"/>
      <c r="B46" s="91"/>
      <c r="C46" s="91"/>
      <c r="D46" s="92"/>
      <c r="E46" s="93"/>
      <c r="F46" s="94"/>
      <c r="H46" s="135"/>
      <c r="I46" s="135"/>
      <c r="J46" s="135"/>
      <c r="K46" s="135"/>
    </row>
    <row r="47" customFormat="false" ht="15" hidden="false" customHeight="false" outlineLevel="0" collapsed="false">
      <c r="A47" s="95"/>
      <c r="B47" s="91"/>
      <c r="C47" s="91"/>
      <c r="D47" s="92"/>
      <c r="E47" s="93"/>
      <c r="F47" s="94"/>
      <c r="H47" s="135"/>
      <c r="I47" s="135"/>
    </row>
    <row r="48" customFormat="false" ht="15" hidden="false" customHeight="false" outlineLevel="0" collapsed="false">
      <c r="A48" s="95"/>
      <c r="B48" s="115"/>
      <c r="C48" s="115"/>
      <c r="D48" s="92"/>
      <c r="E48" s="93"/>
      <c r="F48" s="94"/>
      <c r="G48" s="101"/>
      <c r="H48" s="135"/>
    </row>
    <row r="49" customFormat="false" ht="15" hidden="false" customHeight="false" outlineLevel="0" collapsed="false">
      <c r="A49" s="95"/>
      <c r="B49" s="115"/>
      <c r="C49" s="115"/>
      <c r="D49" s="92"/>
      <c r="E49" s="93"/>
      <c r="F49" s="94"/>
      <c r="G49" s="101"/>
      <c r="H49" s="268"/>
    </row>
    <row r="50" customFormat="false" ht="15" hidden="false" customHeight="false" outlineLevel="0" collapsed="false">
      <c r="A50" s="269"/>
      <c r="B50" s="115"/>
      <c r="C50" s="115"/>
      <c r="D50" s="92"/>
      <c r="E50" s="93"/>
      <c r="F50" s="112"/>
      <c r="G50" s="101"/>
      <c r="H50" s="268"/>
    </row>
    <row r="51" customFormat="false" ht="15" hidden="false" customHeight="false" outlineLevel="0" collapsed="false">
      <c r="A51" s="95"/>
      <c r="B51" s="91"/>
      <c r="C51" s="91"/>
      <c r="D51" s="92"/>
      <c r="E51" s="93"/>
      <c r="F51" s="94"/>
    </row>
    <row r="52" customFormat="false" ht="15" hidden="false" customHeight="false" outlineLevel="0" collapsed="false">
      <c r="A52" s="123"/>
      <c r="B52" s="123"/>
      <c r="C52" s="123"/>
      <c r="D52" s="124"/>
      <c r="E52" s="125"/>
      <c r="F52" s="94"/>
    </row>
    <row r="53" customFormat="false" ht="15" hidden="false" customHeight="false" outlineLevel="0" collapsed="false">
      <c r="A53" s="95"/>
      <c r="B53" s="91"/>
      <c r="C53" s="91"/>
      <c r="D53" s="92"/>
      <c r="E53" s="93"/>
      <c r="F53" s="94"/>
    </row>
    <row r="54" customFormat="false" ht="15" hidden="false" customHeight="false" outlineLevel="0" collapsed="false">
      <c r="A54" s="95"/>
      <c r="B54" s="91"/>
      <c r="C54" s="91"/>
      <c r="D54" s="92"/>
      <c r="E54" s="93"/>
      <c r="F54" s="94"/>
    </row>
    <row r="55" customFormat="false" ht="15" hidden="false" customHeight="false" outlineLevel="0" collapsed="false">
      <c r="A55" s="95"/>
      <c r="B55" s="91"/>
      <c r="C55" s="91"/>
      <c r="D55" s="92"/>
      <c r="E55" s="93"/>
      <c r="F55" s="94"/>
      <c r="G55" s="135"/>
      <c r="H55" s="135"/>
      <c r="I55" s="135"/>
    </row>
    <row r="56" customFormat="false" ht="15" hidden="false" customHeight="false" outlineLevel="0" collapsed="false">
      <c r="A56" s="95"/>
      <c r="B56" s="91"/>
      <c r="C56" s="91"/>
      <c r="D56" s="92"/>
      <c r="E56" s="93"/>
      <c r="F56" s="94"/>
    </row>
    <row r="57" customFormat="false" ht="15" hidden="false" customHeight="false" outlineLevel="0" collapsed="false">
      <c r="A57" s="95"/>
      <c r="B57" s="91"/>
      <c r="C57" s="91"/>
      <c r="D57" s="92"/>
      <c r="E57" s="93"/>
      <c r="F57" s="94"/>
    </row>
    <row r="58" customFormat="false" ht="15" hidden="false" customHeight="false" outlineLevel="0" collapsed="false">
      <c r="A58" s="95"/>
      <c r="B58" s="91"/>
      <c r="C58" s="91"/>
      <c r="D58" s="92"/>
      <c r="E58" s="93"/>
      <c r="F58" s="94"/>
    </row>
    <row r="59" customFormat="false" ht="15" hidden="false" customHeight="false" outlineLevel="0" collapsed="false">
      <c r="A59" s="95"/>
      <c r="B59" s="91"/>
      <c r="C59" s="91"/>
      <c r="D59" s="92"/>
      <c r="E59" s="93"/>
      <c r="F59" s="94"/>
    </row>
    <row r="60" customFormat="false" ht="15" hidden="false" customHeight="false" outlineLevel="0" collapsed="false">
      <c r="A60" s="95"/>
      <c r="B60" s="91"/>
      <c r="C60" s="91"/>
      <c r="D60" s="92"/>
      <c r="E60" s="93"/>
      <c r="F60" s="94"/>
    </row>
    <row r="61" customFormat="false" ht="15" hidden="false" customHeight="false" outlineLevel="0" collapsed="false">
      <c r="A61" s="95"/>
      <c r="B61" s="91"/>
      <c r="C61" s="91"/>
      <c r="D61" s="92"/>
      <c r="E61" s="93"/>
      <c r="F61" s="94"/>
    </row>
    <row r="62" customFormat="false" ht="15" hidden="false" customHeight="false" outlineLevel="0" collapsed="false">
      <c r="A62" s="95"/>
      <c r="B62" s="91"/>
      <c r="C62" s="91"/>
      <c r="D62" s="92"/>
      <c r="E62" s="93"/>
      <c r="F62" s="94"/>
    </row>
  </sheetData>
  <mergeCells count="37"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</mergeCells>
  <dataValidations count="2">
    <dataValidation allowBlank="true" operator="equal" showDropDown="false" showErrorMessage="true" showInputMessage="true" sqref="D13:D22 D38:D62" type="list">
      <formula1>"Staff costs,Management,Research stays,Meetings &amp; events,Aladin Flat-rate LACE"</formula1>
      <formula2>0</formula2>
    </dataValidation>
    <dataValidation allowBlank="true" operator="equal" showDropDown="false" showErrorMessage="true" showInputMessage="true" sqref="E13:E22 E38:E62" type="list">
      <formula1>"1,2,3,4,5,6,7,8,9,10,11,12,13,14"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I12"/>
  <sheetViews>
    <sheetView showFormulas="false" showGridLines="true" showRowColHeaders="true" showZeros="true" rightToLeft="false" tabSelected="false" showOutlineSymbols="true" defaultGridColor="true" view="normal" topLeftCell="W1" colorId="64" zoomScale="100" zoomScaleNormal="100" zoomScalePageLayoutView="100" workbookViewId="0">
      <selection pane="topLeft" activeCell="A5" activeCellId="0" sqref="A5"/>
    </sheetView>
  </sheetViews>
  <sheetFormatPr defaultRowHeight="13.8" zeroHeight="false" outlineLevelRow="0" outlineLevelCol="0"/>
  <cols>
    <col collapsed="false" customWidth="true" hidden="false" outlineLevel="0" max="2" min="1" style="0" width="8.67"/>
    <col collapsed="false" customWidth="true" hidden="false" outlineLevel="0" max="3" min="3" style="0" width="16.94"/>
    <col collapsed="false" customWidth="true" hidden="false" outlineLevel="0" max="4" min="4" style="0" width="61.41"/>
    <col collapsed="false" customWidth="true" hidden="false" outlineLevel="0" max="1025" min="5" style="0" width="8.67"/>
  </cols>
  <sheetData>
    <row r="2" customFormat="false" ht="13.8" hidden="false" customHeight="false" outlineLevel="0" collapsed="false">
      <c r="B2" s="0" t="s">
        <v>264</v>
      </c>
      <c r="C2" s="0" t="s">
        <v>265</v>
      </c>
      <c r="D2" s="0" t="s">
        <v>75</v>
      </c>
      <c r="E2" s="0" t="s">
        <v>266</v>
      </c>
      <c r="F2" s="0" t="s">
        <v>267</v>
      </c>
      <c r="G2" s="0" t="s">
        <v>268</v>
      </c>
      <c r="H2" s="0" t="s">
        <v>269</v>
      </c>
      <c r="I2" s="0" t="s">
        <v>270</v>
      </c>
    </row>
    <row r="3" customFormat="false" ht="13.8" hidden="false" customHeight="false" outlineLevel="0" collapsed="false">
      <c r="B3" s="0" t="s">
        <v>271</v>
      </c>
      <c r="C3" s="0" t="s">
        <v>272</v>
      </c>
      <c r="D3" s="0" t="s">
        <v>273</v>
      </c>
      <c r="E3" s="0" t="n">
        <v>1220</v>
      </c>
      <c r="F3" s="241" t="n">
        <v>42778</v>
      </c>
      <c r="G3" s="241" t="n">
        <v>42806</v>
      </c>
      <c r="H3" s="0" t="s">
        <v>274</v>
      </c>
    </row>
    <row r="4" customFormat="false" ht="14.95" hidden="false" customHeight="true" outlineLevel="0" collapsed="false">
      <c r="B4" s="0" t="s">
        <v>275</v>
      </c>
      <c r="C4" s="0" t="s">
        <v>276</v>
      </c>
      <c r="D4" s="0" t="s">
        <v>277</v>
      </c>
      <c r="E4" s="0" t="n">
        <v>1220</v>
      </c>
      <c r="F4" s="241" t="n">
        <v>43045</v>
      </c>
      <c r="G4" s="241" t="n">
        <v>43070</v>
      </c>
      <c r="H4" s="0" t="s">
        <v>278</v>
      </c>
      <c r="I4" s="0" t="s">
        <v>279</v>
      </c>
    </row>
    <row r="5" customFormat="false" ht="13.8" hidden="false" customHeight="false" outlineLevel="0" collapsed="false">
      <c r="B5" s="0" t="s">
        <v>271</v>
      </c>
      <c r="C5" s="0" t="s">
        <v>280</v>
      </c>
      <c r="D5" s="0" t="s">
        <v>281</v>
      </c>
      <c r="E5" s="0" t="n">
        <v>2440</v>
      </c>
      <c r="F5" s="241" t="n">
        <v>43059</v>
      </c>
      <c r="G5" s="241" t="n">
        <v>43084</v>
      </c>
      <c r="H5" s="0" t="s">
        <v>278</v>
      </c>
      <c r="I5" s="0" t="s">
        <v>282</v>
      </c>
    </row>
    <row r="6" customFormat="false" ht="13.8" hidden="false" customHeight="false" outlineLevel="0" collapsed="false">
      <c r="B6" s="0" t="s">
        <v>271</v>
      </c>
      <c r="C6" s="0" t="s">
        <v>283</v>
      </c>
      <c r="D6" s="0" t="s">
        <v>284</v>
      </c>
      <c r="E6" s="0" t="n">
        <v>1830</v>
      </c>
      <c r="F6" s="241" t="n">
        <v>43031</v>
      </c>
      <c r="G6" s="241" t="n">
        <v>43077</v>
      </c>
      <c r="H6" s="0" t="s">
        <v>274</v>
      </c>
    </row>
    <row r="7" customFormat="false" ht="13.8" hidden="false" customHeight="false" outlineLevel="0" collapsed="false">
      <c r="B7" s="0" t="s">
        <v>285</v>
      </c>
      <c r="C7" s="0" t="s">
        <v>283</v>
      </c>
      <c r="D7" s="0" t="s">
        <v>284</v>
      </c>
      <c r="E7" s="0" t="n">
        <v>4880</v>
      </c>
      <c r="F7" s="241" t="n">
        <v>42870</v>
      </c>
      <c r="G7" s="241" t="n">
        <v>42923</v>
      </c>
      <c r="H7" s="0" t="s">
        <v>274</v>
      </c>
    </row>
    <row r="8" customFormat="false" ht="13.8" hidden="false" customHeight="false" outlineLevel="0" collapsed="false">
      <c r="B8" s="0" t="s">
        <v>286</v>
      </c>
      <c r="C8" s="0" t="s">
        <v>287</v>
      </c>
      <c r="D8" s="0" t="s">
        <v>288</v>
      </c>
      <c r="E8" s="0" t="n">
        <v>2770</v>
      </c>
      <c r="F8" s="241" t="n">
        <v>42995</v>
      </c>
      <c r="G8" s="241" t="n">
        <v>43022</v>
      </c>
      <c r="H8" s="0" t="s">
        <v>278</v>
      </c>
      <c r="I8" s="0" t="s">
        <v>289</v>
      </c>
    </row>
    <row r="12" customFormat="false" ht="13.8" hidden="false" customHeight="false" outlineLevel="0" collapsed="false">
      <c r="H12" s="0" t="s">
        <v>290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K58"/>
  <sheetViews>
    <sheetView showFormulas="false" showGridLines="true" showRowColHeaders="true" showZeros="true" rightToLeft="false" tabSelected="true" showOutlineSymbols="true" defaultGridColor="true" view="normal" topLeftCell="C4" colorId="64" zoomScale="100" zoomScaleNormal="100" zoomScalePageLayoutView="100" workbookViewId="0">
      <selection pane="topLeft" activeCell="K9" activeCellId="0" sqref="K9"/>
    </sheetView>
  </sheetViews>
  <sheetFormatPr defaultRowHeight="15" zeroHeight="false" outlineLevelRow="0" outlineLevelCol="0"/>
  <cols>
    <col collapsed="false" customWidth="true" hidden="false" outlineLevel="0" max="1" min="1" style="0" width="29.42"/>
    <col collapsed="false" customWidth="true" hidden="false" outlineLevel="0" max="8" min="2" style="0" width="18.71"/>
    <col collapsed="false" customWidth="true" hidden="false" outlineLevel="0" max="9" min="9" style="0" width="16.57"/>
    <col collapsed="false" customWidth="true" hidden="false" outlineLevel="0" max="10" min="10" style="0" width="15"/>
    <col collapsed="false" customWidth="true" hidden="false" outlineLevel="0" max="11" min="11" style="0" width="14.15"/>
    <col collapsed="false" customWidth="true" hidden="false" outlineLevel="0" max="1025" min="12" style="0" width="10.65"/>
  </cols>
  <sheetData>
    <row r="2" customFormat="false" ht="13.8" hidden="false" customHeight="false" outlineLevel="0" collapsed="false">
      <c r="A2" s="54" t="s">
        <v>39</v>
      </c>
      <c r="I2" s="55"/>
    </row>
    <row r="3" customFormat="false" ht="15" hidden="false" customHeight="false" outlineLevel="0" collapsed="false">
      <c r="A3" s="56"/>
      <c r="B3" s="57" t="s">
        <v>40</v>
      </c>
      <c r="C3" s="57" t="s">
        <v>41</v>
      </c>
      <c r="D3" s="57" t="s">
        <v>42</v>
      </c>
      <c r="E3" s="57" t="s">
        <v>43</v>
      </c>
      <c r="F3" s="57" t="s">
        <v>44</v>
      </c>
      <c r="G3" s="57" t="s">
        <v>45</v>
      </c>
      <c r="H3" s="57" t="s">
        <v>46</v>
      </c>
      <c r="I3" s="58" t="s">
        <v>14</v>
      </c>
      <c r="J3" s="59" t="s">
        <v>47</v>
      </c>
    </row>
    <row r="4" customFormat="false" ht="15" hidden="false" customHeight="false" outlineLevel="0" collapsed="false">
      <c r="A4" s="60" t="s">
        <v>48</v>
      </c>
      <c r="B4" s="55" t="n">
        <f aca="false">'Program Manager'!$L5</f>
        <v>10400</v>
      </c>
      <c r="C4" s="55" t="n">
        <f aca="false">Dynamics!$L5</f>
        <v>7800</v>
      </c>
      <c r="D4" s="55" t="n">
        <f aca="false">Physics!$L5</f>
        <v>7800</v>
      </c>
      <c r="E4" s="55" t="n">
        <f aca="false">'Data Assimilation'!$L5</f>
        <v>7800</v>
      </c>
      <c r="F4" s="55" t="n">
        <f aca="false">Predictability!$L5</f>
        <v>7800</v>
      </c>
      <c r="G4" s="55" t="n">
        <f aca="false">'Data Manager'!$L5</f>
        <v>5200</v>
      </c>
      <c r="H4" s="55" t="n">
        <f aca="false">'System Coordinator'!$L5</f>
        <v>5200</v>
      </c>
      <c r="I4" s="61" t="n">
        <f aca="false">SUM(B4:H4)</f>
        <v>52000</v>
      </c>
      <c r="J4" s="55"/>
      <c r="K4" s="0" t="s">
        <v>49</v>
      </c>
    </row>
    <row r="5" customFormat="false" ht="13.8" hidden="false" customHeight="false" outlineLevel="0" collapsed="false">
      <c r="A5" s="60" t="s">
        <v>50</v>
      </c>
      <c r="B5" s="55" t="n">
        <f aca="false">'Program Manager'!$L6</f>
        <v>4500</v>
      </c>
      <c r="C5" s="55" t="n">
        <f aca="false">Dynamics!$L6</f>
        <v>3000</v>
      </c>
      <c r="D5" s="55" t="n">
        <f aca="false">Physics!$L6</f>
        <v>3000</v>
      </c>
      <c r="E5" s="55" t="n">
        <f aca="false">'Data Assimilation'!$L6</f>
        <v>3000</v>
      </c>
      <c r="F5" s="55" t="n">
        <f aca="false">Predictability!$L6</f>
        <v>3000</v>
      </c>
      <c r="G5" s="55" t="n">
        <f aca="false">'Data Manager'!$L6</f>
        <v>3000</v>
      </c>
      <c r="H5" s="55" t="n">
        <f aca="false">'System Coordinator'!$L6</f>
        <v>3000</v>
      </c>
      <c r="I5" s="61" t="n">
        <f aca="false">SUM(B5:H5)</f>
        <v>22500</v>
      </c>
      <c r="J5" s="55" t="n">
        <f aca="false">ALADIN!$J10</f>
        <v>47425</v>
      </c>
      <c r="K5" s="0" t="s">
        <v>51</v>
      </c>
    </row>
    <row r="6" customFormat="false" ht="13.8" hidden="false" customHeight="false" outlineLevel="0" collapsed="false">
      <c r="A6" s="60" t="s">
        <v>52</v>
      </c>
      <c r="B6" s="62" t="n">
        <f aca="false">'Program Manager'!$L7</f>
        <v>3660</v>
      </c>
      <c r="C6" s="55" t="n">
        <f aca="false">Dynamics!$L7</f>
        <v>9760</v>
      </c>
      <c r="D6" s="62" t="n">
        <f aca="false">Physics!$L7</f>
        <v>15860</v>
      </c>
      <c r="E6" s="62" t="n">
        <f aca="false">'Data Assimilation'!$L7</f>
        <v>8540</v>
      </c>
      <c r="F6" s="55" t="n">
        <f aca="false">Predictability!$L7</f>
        <v>14640</v>
      </c>
      <c r="G6" s="55" t="n">
        <f aca="false">'Data Manager'!$L7</f>
        <v>1220</v>
      </c>
      <c r="H6" s="55" t="n">
        <f aca="false">'System Coordinator'!$L7</f>
        <v>4880</v>
      </c>
      <c r="I6" s="61" t="n">
        <f aca="false">SUM(B6:H6)</f>
        <v>58560</v>
      </c>
      <c r="J6" s="55"/>
    </row>
    <row r="7" customFormat="false" ht="13.8" hidden="false" customHeight="false" outlineLevel="0" collapsed="false">
      <c r="A7" s="60" t="s">
        <v>53</v>
      </c>
      <c r="B7" s="55" t="n">
        <f aca="false">'Program Manager'!$L8</f>
        <v>1000</v>
      </c>
      <c r="C7" s="55" t="n">
        <f aca="false">Dynamics!$L8</f>
        <v>1000</v>
      </c>
      <c r="D7" s="55" t="n">
        <f aca="false">Physics!$L8</f>
        <v>0</v>
      </c>
      <c r="E7" s="55" t="n">
        <f aca="false">'Data Assimilation'!$L8</f>
        <v>1000</v>
      </c>
      <c r="F7" s="55" t="n">
        <f aca="false">Predictability!$L8</f>
        <v>1000</v>
      </c>
      <c r="G7" s="55" t="n">
        <f aca="false">'Data Manager'!$L8</f>
        <v>1000</v>
      </c>
      <c r="H7" s="55" t="n">
        <f aca="false">'System Coordinator'!$L8</f>
        <v>1000</v>
      </c>
      <c r="I7" s="63" t="n">
        <f aca="false">SUM(B7:H7)</f>
        <v>6000</v>
      </c>
      <c r="J7" s="55"/>
      <c r="K7" s="64" t="s">
        <v>54</v>
      </c>
    </row>
    <row r="8" customFormat="false" ht="13.8" hidden="false" customHeight="false" outlineLevel="0" collapsed="false">
      <c r="A8" s="65" t="s">
        <v>55</v>
      </c>
      <c r="B8" s="66" t="n">
        <f aca="false">'Program Manager'!$L9</f>
        <v>4000</v>
      </c>
      <c r="C8" s="67"/>
      <c r="D8" s="67"/>
      <c r="E8" s="67"/>
      <c r="F8" s="67"/>
      <c r="G8" s="67"/>
      <c r="H8" s="67"/>
      <c r="I8" s="63" t="n">
        <f aca="false">SUM(B8:H8)</f>
        <v>4000</v>
      </c>
      <c r="J8" s="68"/>
      <c r="K8" s="69"/>
    </row>
    <row r="9" customFormat="false" ht="15" hidden="false" customHeight="false" outlineLevel="0" collapsed="false">
      <c r="A9" s="70" t="s">
        <v>14</v>
      </c>
      <c r="B9" s="71" t="n">
        <f aca="false">'Program Manager'!$L10</f>
        <v>23560</v>
      </c>
      <c r="C9" s="71" t="n">
        <f aca="false">Dynamics!$L9</f>
        <v>21560</v>
      </c>
      <c r="D9" s="71" t="n">
        <f aca="false">Physics!$L9</f>
        <v>26660</v>
      </c>
      <c r="E9" s="71" t="n">
        <f aca="false">'Data Assimilation'!$L9</f>
        <v>20340</v>
      </c>
      <c r="F9" s="71" t="n">
        <f aca="false">Predictability!$L9</f>
        <v>26440</v>
      </c>
      <c r="G9" s="71" t="n">
        <f aca="false">'Data Manager'!$L9</f>
        <v>10420</v>
      </c>
      <c r="H9" s="71" t="n">
        <f aca="false">'System Coordinator'!$L9</f>
        <v>14080</v>
      </c>
      <c r="I9" s="72" t="n">
        <f aca="false">SUM(B9:H9)</f>
        <v>143060</v>
      </c>
      <c r="J9" s="73" t="n">
        <f aca="false">SUM(I9+J5+J7)</f>
        <v>190485</v>
      </c>
      <c r="K9" s="43" t="n">
        <f aca="false">I5+J5+I7-14000-5600-6000</f>
        <v>50325</v>
      </c>
    </row>
    <row r="10" customFormat="false" ht="13.8" hidden="false" customHeight="false" outlineLevel="0" collapsed="false">
      <c r="I10" s="0" t="n">
        <f aca="false">I5+I7+J5-19600</f>
        <v>56325</v>
      </c>
    </row>
    <row r="11" customFormat="false" ht="15" hidden="false" customHeight="false" outlineLevel="0" collapsed="false">
      <c r="A11" s="74" t="s">
        <v>56</v>
      </c>
    </row>
    <row r="12" customFormat="false" ht="15" hidden="false" customHeight="false" outlineLevel="0" collapsed="false">
      <c r="A12" s="75"/>
      <c r="B12" s="76" t="s">
        <v>40</v>
      </c>
      <c r="C12" s="76" t="s">
        <v>41</v>
      </c>
      <c r="D12" s="76" t="s">
        <v>42</v>
      </c>
      <c r="E12" s="76" t="s">
        <v>43</v>
      </c>
      <c r="F12" s="76" t="s">
        <v>44</v>
      </c>
      <c r="G12" s="76" t="s">
        <v>45</v>
      </c>
      <c r="H12" s="76" t="s">
        <v>46</v>
      </c>
      <c r="I12" s="77" t="s">
        <v>14</v>
      </c>
      <c r="J12" s="76" t="s">
        <v>47</v>
      </c>
    </row>
    <row r="13" customFormat="false" ht="15" hidden="false" customHeight="false" outlineLevel="0" collapsed="false">
      <c r="A13" s="78" t="s">
        <v>48</v>
      </c>
      <c r="B13" s="55" t="n">
        <f aca="false">'Program Manager'!$L39</f>
        <v>0</v>
      </c>
      <c r="C13" s="55" t="n">
        <f aca="false">Dynamics!$L33</f>
        <v>0</v>
      </c>
      <c r="D13" s="55" t="n">
        <f aca="false">Physics!$L38</f>
        <v>0</v>
      </c>
      <c r="E13" s="55" t="n">
        <f aca="false">'Data Assimilation'!$L42</f>
        <v>0</v>
      </c>
      <c r="F13" s="55" t="n">
        <f aca="false">Predictability!$K36</f>
        <v>0</v>
      </c>
      <c r="G13" s="55" t="n">
        <f aca="false">'Data Manager'!$L32</f>
        <v>0</v>
      </c>
      <c r="H13" s="55" t="n">
        <f aca="false">'System Coordinator'!$L30</f>
        <v>0</v>
      </c>
      <c r="I13" s="55" t="n">
        <f aca="false">SUM(B13:H13)</f>
        <v>0</v>
      </c>
      <c r="J13" s="55"/>
    </row>
    <row r="14" customFormat="false" ht="15" hidden="false" customHeight="false" outlineLevel="0" collapsed="false">
      <c r="A14" s="78" t="s">
        <v>50</v>
      </c>
      <c r="B14" s="55" t="n">
        <f aca="false">'Program Manager'!$L40</f>
        <v>0</v>
      </c>
      <c r="C14" s="55" t="n">
        <f aca="false">Dynamics!$L34</f>
        <v>0</v>
      </c>
      <c r="D14" s="55" t="n">
        <f aca="false">Physics!$L39</f>
        <v>0</v>
      </c>
      <c r="E14" s="55" t="n">
        <f aca="false">'Data Assimilation'!$L43</f>
        <v>0</v>
      </c>
      <c r="F14" s="55" t="n">
        <f aca="false">Predictability!$K37</f>
        <v>0</v>
      </c>
      <c r="G14" s="55" t="n">
        <f aca="false">'Data Manager'!$L33</f>
        <v>0</v>
      </c>
      <c r="H14" s="55" t="n">
        <f aca="false">'System Coordinator'!$L31</f>
        <v>0</v>
      </c>
      <c r="I14" s="79" t="n">
        <f aca="false">SUM(B14:H14)</f>
        <v>0</v>
      </c>
      <c r="J14" s="55" t="n">
        <f aca="false">ALADIN!J60</f>
        <v>0</v>
      </c>
    </row>
    <row r="15" customFormat="false" ht="15" hidden="false" customHeight="false" outlineLevel="0" collapsed="false">
      <c r="A15" s="78" t="s">
        <v>52</v>
      </c>
      <c r="B15" s="55" t="n">
        <f aca="false">'Program Manager'!$L41</f>
        <v>0</v>
      </c>
      <c r="C15" s="55" t="n">
        <f aca="false">Dynamics!$L35</f>
        <v>0</v>
      </c>
      <c r="D15" s="55" t="n">
        <f aca="false">Physics!$L40</f>
        <v>0</v>
      </c>
      <c r="E15" s="55" t="n">
        <f aca="false">'Data Assimilation'!$L44</f>
        <v>0</v>
      </c>
      <c r="F15" s="55" t="n">
        <f aca="false">Predictability!$K38</f>
        <v>0</v>
      </c>
      <c r="G15" s="55" t="n">
        <f aca="false">'Data Manager'!$L34</f>
        <v>0</v>
      </c>
      <c r="H15" s="55" t="n">
        <f aca="false">'System Coordinator'!$L32</f>
        <v>0</v>
      </c>
      <c r="I15" s="79" t="n">
        <f aca="false">SUM(B15:H15)</f>
        <v>0</v>
      </c>
      <c r="J15" s="55"/>
    </row>
    <row r="16" customFormat="false" ht="15" hidden="false" customHeight="false" outlineLevel="0" collapsed="false">
      <c r="A16" s="78" t="s">
        <v>53</v>
      </c>
      <c r="B16" s="55" t="n">
        <f aca="false">'Program Manager'!$L42</f>
        <v>0</v>
      </c>
      <c r="C16" s="55" t="n">
        <f aca="false">Dynamics!$L36</f>
        <v>0</v>
      </c>
      <c r="D16" s="55" t="n">
        <f aca="false">Physics!$L41</f>
        <v>0</v>
      </c>
      <c r="E16" s="55" t="n">
        <f aca="false">'Data Assimilation'!$L45</f>
        <v>0</v>
      </c>
      <c r="F16" s="55" t="n">
        <f aca="false">Predictability!$K39</f>
        <v>0</v>
      </c>
      <c r="G16" s="55" t="n">
        <f aca="false">'Data Manager'!$L35</f>
        <v>0</v>
      </c>
      <c r="H16" s="55" t="n">
        <f aca="false">'System Coordinator'!$L33</f>
        <v>0</v>
      </c>
      <c r="I16" s="79" t="n">
        <f aca="false">SUM(B16:H16)</f>
        <v>0</v>
      </c>
      <c r="J16" s="55"/>
    </row>
    <row r="17" customFormat="false" ht="13.8" hidden="false" customHeight="false" outlineLevel="0" collapsed="false">
      <c r="A17" s="80" t="s">
        <v>55</v>
      </c>
      <c r="B17" s="66" t="n">
        <f aca="false">'Program Manager'!$L43</f>
        <v>0</v>
      </c>
      <c r="C17" s="67"/>
      <c r="D17" s="67"/>
      <c r="E17" s="67"/>
      <c r="F17" s="67"/>
      <c r="G17" s="67"/>
      <c r="H17" s="67"/>
      <c r="I17" s="79" t="n">
        <f aca="false">SUM(B17:H17)</f>
        <v>0</v>
      </c>
      <c r="J17" s="66"/>
    </row>
    <row r="18" customFormat="false" ht="15" hidden="false" customHeight="false" outlineLevel="0" collapsed="false">
      <c r="A18" s="81" t="s">
        <v>14</v>
      </c>
      <c r="B18" s="71" t="n">
        <f aca="false">'Program Manager'!$L44</f>
        <v>0</v>
      </c>
      <c r="C18" s="71" t="n">
        <f aca="false">Dynamics!$L37</f>
        <v>0</v>
      </c>
      <c r="D18" s="71" t="n">
        <f aca="false">Physics!$L42</f>
        <v>0</v>
      </c>
      <c r="E18" s="71" t="n">
        <f aca="false">'Data Assimilation'!$L46</f>
        <v>0</v>
      </c>
      <c r="F18" s="71" t="n">
        <f aca="false">Predictability!$K40</f>
        <v>0</v>
      </c>
      <c r="G18" s="71" t="n">
        <f aca="false">'Data Manager'!$L36</f>
        <v>0</v>
      </c>
      <c r="H18" s="71" t="n">
        <f aca="false">'System Coordinator'!$L34</f>
        <v>0</v>
      </c>
      <c r="I18" s="71" t="n">
        <f aca="false">SUM(B18:H18)</f>
        <v>0</v>
      </c>
      <c r="J18" s="73" t="n">
        <f aca="false">SUM(I18+J14+J16)</f>
        <v>0</v>
      </c>
    </row>
    <row r="23" customFormat="false" ht="15" hidden="false" customHeight="false" outlineLevel="0" collapsed="false">
      <c r="A23" s="82" t="s">
        <v>57</v>
      </c>
      <c r="B23" s="64"/>
      <c r="C23" s="64"/>
      <c r="D23" s="64"/>
    </row>
    <row r="24" customFormat="false" ht="15" hidden="false" customHeight="false" outlineLevel="0" collapsed="false">
      <c r="A24" s="56"/>
      <c r="B24" s="57" t="s">
        <v>40</v>
      </c>
      <c r="C24" s="57" t="s">
        <v>41</v>
      </c>
      <c r="D24" s="57" t="s">
        <v>42</v>
      </c>
      <c r="E24" s="57" t="s">
        <v>43</v>
      </c>
      <c r="F24" s="57" t="s">
        <v>44</v>
      </c>
      <c r="G24" s="57" t="s">
        <v>45</v>
      </c>
      <c r="H24" s="57" t="s">
        <v>46</v>
      </c>
      <c r="I24" s="58" t="s">
        <v>14</v>
      </c>
      <c r="J24" s="59" t="s">
        <v>47</v>
      </c>
    </row>
    <row r="25" customFormat="false" ht="13.8" hidden="false" customHeight="false" outlineLevel="0" collapsed="false">
      <c r="A25" s="60" t="s">
        <v>48</v>
      </c>
      <c r="B25" s="55" t="n">
        <v>10400</v>
      </c>
      <c r="C25" s="55" t="n">
        <v>7800</v>
      </c>
      <c r="D25" s="55" t="n">
        <v>7800</v>
      </c>
      <c r="E25" s="55" t="n">
        <v>7800</v>
      </c>
      <c r="F25" s="55" t="n">
        <v>7800</v>
      </c>
      <c r="G25" s="55" t="n">
        <v>5200</v>
      </c>
      <c r="H25" s="55" t="n">
        <v>5200</v>
      </c>
      <c r="I25" s="61" t="n">
        <f aca="false">SUM(B25:H25)</f>
        <v>52000</v>
      </c>
      <c r="J25" s="55"/>
    </row>
    <row r="26" customFormat="false" ht="13.8" hidden="false" customHeight="false" outlineLevel="0" collapsed="false">
      <c r="A26" s="60" t="s">
        <v>50</v>
      </c>
      <c r="B26" s="55" t="n">
        <v>4500</v>
      </c>
      <c r="C26" s="55" t="n">
        <v>3000</v>
      </c>
      <c r="D26" s="55" t="n">
        <v>3000</v>
      </c>
      <c r="E26" s="55" t="n">
        <v>3000</v>
      </c>
      <c r="F26" s="55" t="n">
        <v>3000</v>
      </c>
      <c r="G26" s="55" t="n">
        <v>3000</v>
      </c>
      <c r="H26" s="55" t="n">
        <v>3000</v>
      </c>
      <c r="I26" s="61" t="n">
        <f aca="false">SUM(B26:H26)</f>
        <v>22500</v>
      </c>
      <c r="J26" s="55" t="n">
        <v>40425</v>
      </c>
    </row>
    <row r="27" customFormat="false" ht="13.8" hidden="false" customHeight="false" outlineLevel="0" collapsed="false">
      <c r="A27" s="60" t="s">
        <v>52</v>
      </c>
      <c r="B27" s="55" t="n">
        <v>3660</v>
      </c>
      <c r="C27" s="55" t="n">
        <v>9760</v>
      </c>
      <c r="D27" s="55" t="n">
        <v>18300</v>
      </c>
      <c r="E27" s="55" t="n">
        <v>20740</v>
      </c>
      <c r="F27" s="55" t="n">
        <v>14640</v>
      </c>
      <c r="G27" s="55" t="n">
        <v>1220</v>
      </c>
      <c r="H27" s="55" t="n">
        <v>4880</v>
      </c>
      <c r="I27" s="61" t="n">
        <f aca="false">SUM(B27:H27)</f>
        <v>73200</v>
      </c>
      <c r="J27" s="55"/>
    </row>
    <row r="28" customFormat="false" ht="13.8" hidden="false" customHeight="false" outlineLevel="0" collapsed="false">
      <c r="A28" s="60" t="s">
        <v>53</v>
      </c>
      <c r="B28" s="55" t="n">
        <v>1000</v>
      </c>
      <c r="C28" s="55" t="n">
        <v>1000</v>
      </c>
      <c r="D28" s="55" t="n">
        <v>1000</v>
      </c>
      <c r="E28" s="55" t="n">
        <v>1000</v>
      </c>
      <c r="F28" s="55" t="n">
        <v>1000</v>
      </c>
      <c r="G28" s="55" t="n">
        <v>1000</v>
      </c>
      <c r="H28" s="55" t="n">
        <v>1000</v>
      </c>
      <c r="I28" s="61" t="n">
        <f aca="false">SUM(B28:H28)</f>
        <v>7000</v>
      </c>
      <c r="J28" s="55"/>
    </row>
    <row r="29" customFormat="false" ht="13.8" hidden="false" customHeight="false" outlineLevel="0" collapsed="false">
      <c r="A29" s="65" t="s">
        <v>55</v>
      </c>
      <c r="B29" s="66" t="n">
        <v>4000</v>
      </c>
      <c r="C29" s="67"/>
      <c r="D29" s="67"/>
      <c r="E29" s="67"/>
      <c r="F29" s="67"/>
      <c r="G29" s="67"/>
      <c r="H29" s="67"/>
      <c r="I29" s="61" t="n">
        <f aca="false">SUM(B29:H29)</f>
        <v>4000</v>
      </c>
      <c r="J29" s="68"/>
    </row>
    <row r="30" customFormat="false" ht="13.8" hidden="false" customHeight="false" outlineLevel="0" collapsed="false">
      <c r="A30" s="70" t="s">
        <v>14</v>
      </c>
      <c r="B30" s="71" t="n">
        <f aca="false">SUM(B25:B29)</f>
        <v>23560</v>
      </c>
      <c r="C30" s="71" t="n">
        <v>21560</v>
      </c>
      <c r="D30" s="71" t="n">
        <v>30100</v>
      </c>
      <c r="E30" s="71" t="n">
        <f aca="false">SUM(E25:E29)</f>
        <v>32540</v>
      </c>
      <c r="F30" s="71" t="n">
        <v>26440</v>
      </c>
      <c r="G30" s="71" t="n">
        <f aca="false">SUM(G25:G29)</f>
        <v>10420</v>
      </c>
      <c r="H30" s="71" t="n">
        <f aca="false">SUM(H25:H29)</f>
        <v>14080</v>
      </c>
      <c r="I30" s="71" t="n">
        <f aca="false">SUM(I25:I29)</f>
        <v>158700</v>
      </c>
      <c r="J30" s="73" t="n">
        <v>197625</v>
      </c>
    </row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>
      <c r="A37" s="60"/>
    </row>
    <row r="38" customFormat="false" ht="13.8" hidden="false" customHeight="false" outlineLevel="0" collapsed="false">
      <c r="A38" s="60"/>
    </row>
    <row r="39" customFormat="false" ht="13.8" hidden="false" customHeight="false" outlineLevel="0" collapsed="false">
      <c r="A39" s="60"/>
    </row>
    <row r="40" customFormat="false" ht="13.8" hidden="false" customHeight="false" outlineLevel="0" collapsed="false">
      <c r="A40" s="60"/>
    </row>
    <row r="41" customFormat="false" ht="13.8" hidden="false" customHeight="false" outlineLevel="0" collapsed="false">
      <c r="A41" s="65"/>
    </row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>
      <c r="A53" s="60"/>
    </row>
    <row r="54" customFormat="false" ht="13.8" hidden="false" customHeight="false" outlineLevel="0" collapsed="false">
      <c r="A54" s="60"/>
    </row>
    <row r="55" customFormat="false" ht="13.8" hidden="false" customHeight="false" outlineLevel="0" collapsed="false">
      <c r="A55" s="60"/>
    </row>
    <row r="56" customFormat="false" ht="13.8" hidden="false" customHeight="false" outlineLevel="0" collapsed="false">
      <c r="A56" s="60"/>
    </row>
    <row r="57" customFormat="false" ht="13.8" hidden="false" customHeight="false" outlineLevel="0" collapsed="false">
      <c r="A57" s="65"/>
    </row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655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RowHeight="15" zeroHeight="false" outlineLevelRow="0" outlineLevelCol="0"/>
  <cols>
    <col collapsed="false" customWidth="true" hidden="false" outlineLevel="0" max="1" min="1" style="0" width="32.42"/>
    <col collapsed="false" customWidth="true" hidden="false" outlineLevel="0" max="3" min="2" style="0" width="18.71"/>
    <col collapsed="false" customWidth="true" hidden="false" outlineLevel="0" max="4" min="4" style="0" width="19.85"/>
    <col collapsed="false" customWidth="true" hidden="false" outlineLevel="0" max="5" min="5" style="0" width="18.12"/>
    <col collapsed="false" customWidth="true" hidden="false" outlineLevel="0" max="6" min="6" style="0" width="18.71"/>
    <col collapsed="false" customWidth="true" hidden="false" outlineLevel="0" max="7" min="7" style="0" width="15.71"/>
    <col collapsed="false" customWidth="true" hidden="false" outlineLevel="0" max="8" min="8" style="0" width="16.71"/>
    <col collapsed="false" customWidth="true" hidden="false" outlineLevel="0" max="10" min="9" style="0" width="15.71"/>
    <col collapsed="false" customWidth="true" hidden="false" outlineLevel="0" max="15" min="11" style="0" width="15.29"/>
    <col collapsed="false" customWidth="true" hidden="false" outlineLevel="0" max="16" min="16" style="0" width="14.15"/>
    <col collapsed="false" customWidth="true" hidden="false" outlineLevel="0" max="1025" min="17" style="0" width="10.65"/>
  </cols>
  <sheetData>
    <row r="1" customFormat="false" ht="15" hidden="false" customHeight="false" outlineLevel="0" collapsed="false">
      <c r="G1" s="83"/>
      <c r="H1" s="83"/>
      <c r="I1" s="83"/>
      <c r="J1" s="83"/>
    </row>
    <row r="2" customFormat="false" ht="21" hidden="false" customHeight="false" outlineLevel="0" collapsed="false">
      <c r="A2" s="1" t="s">
        <v>58</v>
      </c>
    </row>
    <row r="3" customFormat="false" ht="15" hidden="false" customHeight="false" outlineLevel="0" collapsed="false">
      <c r="A3" s="84"/>
      <c r="B3" s="84" t="s">
        <v>59</v>
      </c>
      <c r="C3" s="84" t="s">
        <v>60</v>
      </c>
      <c r="D3" s="84" t="s">
        <v>61</v>
      </c>
      <c r="E3" s="84" t="s">
        <v>62</v>
      </c>
      <c r="F3" s="84" t="s">
        <v>63</v>
      </c>
      <c r="G3" s="84" t="s">
        <v>64</v>
      </c>
      <c r="H3" s="84" t="s">
        <v>65</v>
      </c>
      <c r="I3" s="84" t="s">
        <v>66</v>
      </c>
      <c r="J3" s="84" t="s">
        <v>67</v>
      </c>
      <c r="K3" s="84" t="s">
        <v>68</v>
      </c>
      <c r="L3" s="84" t="s">
        <v>14</v>
      </c>
    </row>
    <row r="4" customFormat="false" ht="15" hidden="false" customHeight="false" outlineLevel="0" collapsed="false">
      <c r="A4" s="85"/>
      <c r="B4" s="86" t="s">
        <v>40</v>
      </c>
      <c r="C4" s="86" t="s">
        <v>69</v>
      </c>
      <c r="D4" s="86" t="s">
        <v>70</v>
      </c>
      <c r="E4" s="86" t="s">
        <v>71</v>
      </c>
      <c r="F4" s="86" t="s">
        <v>72</v>
      </c>
      <c r="G4" s="86" t="s">
        <v>73</v>
      </c>
      <c r="H4" s="86" t="s">
        <v>73</v>
      </c>
      <c r="I4" s="86" t="s">
        <v>73</v>
      </c>
      <c r="J4" s="86" t="s">
        <v>73</v>
      </c>
      <c r="K4" s="86" t="s">
        <v>73</v>
      </c>
      <c r="L4" s="85"/>
    </row>
    <row r="5" customFormat="false" ht="15" hidden="false" customHeight="false" outlineLevel="0" collapsed="false">
      <c r="A5" s="60" t="s">
        <v>48</v>
      </c>
      <c r="B5" s="87" t="n">
        <f aca="false">SUMIFS($F13:$F31,$D13:$D31,"Staff costs",$E13:$E31,"1")</f>
        <v>10400</v>
      </c>
      <c r="C5" s="87" t="n">
        <f aca="false">SUMIFS($F13:$F31,$D13:$D31,"Staff costs",$E13:$E31,"2")</f>
        <v>0</v>
      </c>
      <c r="D5" s="87" t="n">
        <f aca="false">SUMIFS($F13:$F31,$D13:$D31,"Staff costs",$E13:$E31,"3")</f>
        <v>0</v>
      </c>
      <c r="E5" s="87" t="n">
        <f aca="false">SUMIFS($F13:$F31,$D13:$D31,"Staff costs",$E13:$E31,"4")</f>
        <v>0</v>
      </c>
      <c r="F5" s="87" t="n">
        <f aca="false">SUMIFS($F13:$F31,$D13:$D31,"Staff costs",$E13:$E31,"5")</f>
        <v>0</v>
      </c>
      <c r="G5" s="87" t="n">
        <f aca="false">SUMIFS($F13:$F31,$D13:$D31,"Staff costs",$E13:$E31,"6")</f>
        <v>0</v>
      </c>
      <c r="H5" s="87" t="n">
        <f aca="false">SUMIFS($F13:$F31,$D13:$D31,"Staff costs",$E13:$E31,"7")</f>
        <v>0</v>
      </c>
      <c r="I5" s="87" t="n">
        <f aca="false">SUMIFS($F13:$F31,$D13:$D31,"Staff costs",$E13:$E31,"8")</f>
        <v>0</v>
      </c>
      <c r="J5" s="87" t="n">
        <f aca="false">SUMIFS($F13:$F31,$D13:$D31,"Staff costs",$E13:$E31,"9")</f>
        <v>0</v>
      </c>
      <c r="K5" s="87" t="n">
        <f aca="false">SUMIFS($F13:$F31,$D13:$D31,"Staff costs",$E13:$E31,"10")</f>
        <v>0</v>
      </c>
      <c r="L5" s="87" t="n">
        <f aca="false">SUM(B5:K5)</f>
        <v>10400</v>
      </c>
    </row>
    <row r="6" customFormat="false" ht="15" hidden="false" customHeight="false" outlineLevel="0" collapsed="false">
      <c r="A6" s="60" t="s">
        <v>50</v>
      </c>
      <c r="B6" s="87" t="n">
        <f aca="false">SUMIFS($F13:$F31,$D13:$D31,"Management",$E13:$E31,"1")</f>
        <v>4500</v>
      </c>
      <c r="C6" s="87" t="n">
        <f aca="false">SUMIFS($F13:$F31,$D13:$D31,"Management",$E13:$E31,"2")</f>
        <v>0</v>
      </c>
      <c r="D6" s="87" t="n">
        <f aca="false">SUMIFS($F13:$F31,$D13:$D31,"Management",$E13:$E31,"3")</f>
        <v>0</v>
      </c>
      <c r="E6" s="87" t="n">
        <f aca="false">SUMIFS($F13:$F31,$D13:$D31,"Management",$E13:$E31,"4")</f>
        <v>0</v>
      </c>
      <c r="F6" s="87" t="n">
        <f aca="false">SUMIFS($F13:$F31,$D13:$D31,"Management",$E13:$E31,"5")</f>
        <v>0</v>
      </c>
      <c r="G6" s="87" t="n">
        <f aca="false">SUMIFS($F13:$F31,$D13:$D31,"Management",$E13:$E31,"6")</f>
        <v>0</v>
      </c>
      <c r="H6" s="87" t="n">
        <f aca="false">SUMIFS($F13:$F31,$D13:$D31,"Management",$E13:$E31,"7")</f>
        <v>0</v>
      </c>
      <c r="I6" s="87" t="n">
        <f aca="false">SUMIFS($F13:$F31,$D13:$D31,"Management",$E13:$E31,"8")</f>
        <v>0</v>
      </c>
      <c r="J6" s="87" t="n">
        <f aca="false">SUMIFS($F13:$F31,$D13:$D31,"Management",$E13:$E31,"9")</f>
        <v>0</v>
      </c>
      <c r="K6" s="87" t="n">
        <f aca="false">SUMIFS($F13:$F31,$D13:$D31,"Management",$E13:$E31,"10")</f>
        <v>0</v>
      </c>
      <c r="L6" s="87" t="n">
        <f aca="false">SUM(B6:K6)</f>
        <v>4500</v>
      </c>
    </row>
    <row r="7" customFormat="false" ht="15" hidden="false" customHeight="false" outlineLevel="0" collapsed="false">
      <c r="A7" s="60" t="s">
        <v>52</v>
      </c>
      <c r="B7" s="87" t="n">
        <f aca="false">SUMIFS($F13:$F31,$D13:$D31,"Research stays",$E13:$E31,"1")</f>
        <v>0</v>
      </c>
      <c r="C7" s="87" t="n">
        <f aca="false">SUMIFS($F13:$F31,$D13:$D31,"Research stays",$E13:$E31,"2")</f>
        <v>0</v>
      </c>
      <c r="D7" s="87" t="n">
        <f aca="false">SUMIFS($F13:$F31,$D13:$D31,"Research stays",$E13:$E31,"3")</f>
        <v>0</v>
      </c>
      <c r="E7" s="87" t="n">
        <f aca="false">SUMIFS($F13:$F31,$D13:$D31,"Research stays",$E13:$E31,"4")</f>
        <v>0</v>
      </c>
      <c r="F7" s="87" t="n">
        <f aca="false">SUMIFS($F13:$F31,$D13:$D31,"Research stays",$E13:$E31,"5")</f>
        <v>3660</v>
      </c>
      <c r="G7" s="87" t="n">
        <f aca="false">SUMIFS($F13:$F31,$D13:$D31,"Research stays",$E13:$E31,"6")</f>
        <v>0</v>
      </c>
      <c r="H7" s="87" t="n">
        <f aca="false">SUMIFS($F13:$F31,$D13:$D31,"Research stays",$E13:$E31,"7")</f>
        <v>0</v>
      </c>
      <c r="I7" s="87" t="n">
        <f aca="false">SUMIFS($F13:$F31,$D13:$D31,"Research stays",$E13:$E31,"8")</f>
        <v>0</v>
      </c>
      <c r="J7" s="87" t="n">
        <f aca="false">SUMIFS($F13:$F31,$D13:$D31,"Research stays",$E13:$E31,"9")</f>
        <v>0</v>
      </c>
      <c r="K7" s="87" t="n">
        <f aca="false">SUMIFS($F13:$F31,$D13:$D31,"Research stays",$E13:$E31,"10")</f>
        <v>0</v>
      </c>
      <c r="L7" s="87" t="n">
        <f aca="false">SUM(B7:K7)</f>
        <v>3660</v>
      </c>
    </row>
    <row r="8" customFormat="false" ht="15" hidden="false" customHeight="false" outlineLevel="0" collapsed="false">
      <c r="A8" s="60" t="s">
        <v>53</v>
      </c>
      <c r="B8" s="87" t="n">
        <f aca="false">SUMIFS($F13:$F31,$D13:$D31,"Meetings &amp; events",$E13:$E31,"1")</f>
        <v>1000</v>
      </c>
      <c r="C8" s="87" t="n">
        <f aca="false">SUMIFS($F13:$F31,$D13:$D31,"Meetings &amp; events",$E13:$E31,"2")</f>
        <v>0</v>
      </c>
      <c r="D8" s="87" t="n">
        <f aca="false">SUMIFS($F13:$F31,$D13:$D31,"Meetings &amp; events",$E13:$E31,"3")</f>
        <v>0</v>
      </c>
      <c r="E8" s="87" t="n">
        <f aca="false">SUMIFS($F13:$F31,$D13:$D31,"Meetings &amp; events",$E13:$E31,"4")</f>
        <v>0</v>
      </c>
      <c r="F8" s="87" t="n">
        <f aca="false">SUMIFS($F13:$F31,$D13:$D31,"Meetings &amp; events",$E13:$E31,"5")</f>
        <v>0</v>
      </c>
      <c r="G8" s="87" t="n">
        <f aca="false">SUMIFS($F13:$F31,$D13:$D31,"Meetings &amp; events",$E13:$E31,"6")</f>
        <v>0</v>
      </c>
      <c r="H8" s="87" t="n">
        <f aca="false">SUMIFS($F13:$F31,$D13:$D31,"Meetings &amp; events",$E13:$E31,"7")</f>
        <v>0</v>
      </c>
      <c r="I8" s="87" t="n">
        <f aca="false">SUMIFS($F13:$F31,$D13:$D31,"Meetings &amp; events",$E13:$E31,"8")</f>
        <v>0</v>
      </c>
      <c r="J8" s="87" t="n">
        <f aca="false">SUMIFS($F13:$F31,$D13:$D31,"Meetings &amp; events",$E13:$E31,"9")</f>
        <v>0</v>
      </c>
      <c r="K8" s="87" t="n">
        <f aca="false">SUMIFS($F13:$F31,$D13:$D31,"Meetings &amp; events",$E13:$E31,"10")</f>
        <v>0</v>
      </c>
      <c r="L8" s="87" t="n">
        <f aca="false">SUM(B8:K8)</f>
        <v>1000</v>
      </c>
    </row>
    <row r="9" customFormat="false" ht="15.75" hidden="false" customHeight="false" outlineLevel="0" collapsed="false">
      <c r="A9" s="65" t="s">
        <v>55</v>
      </c>
      <c r="B9" s="88" t="n">
        <f aca="false">SUMIFS($F13:$F31,$D13:$D31,"Miscellaneous",$E13:$E31,"1")</f>
        <v>4000</v>
      </c>
      <c r="C9" s="88" t="n">
        <f aca="false">SUMIFS($F13:$F31,$D13:$D31,"Miscellaneous",$E13:$E31,"2")</f>
        <v>0</v>
      </c>
      <c r="D9" s="88" t="n">
        <f aca="false">SUMIFS($F13:$F31,$D13:$D31,"Miscellaneous",$E13:$E31,"3")</f>
        <v>0</v>
      </c>
      <c r="E9" s="88" t="n">
        <f aca="false">SUMIFS($F13:$F31,$D13:$D31,"Miscellaneous",$E13:$E31,"4")</f>
        <v>0</v>
      </c>
      <c r="F9" s="88" t="n">
        <f aca="false">SUMIFS($F13:$F31,$D13:$D31,"Miscellaneous",$E13:$E31,"5")</f>
        <v>0</v>
      </c>
      <c r="G9" s="88" t="n">
        <f aca="false">SUMIFS($F13:$F31,$D13:$D31,"Miscellaneous",$E13:$E31,"6")</f>
        <v>0</v>
      </c>
      <c r="H9" s="88" t="n">
        <f aca="false">SUMIFS($F13:$F31,$D13:$D31,"Miscellaneous",$E13:$E31,"7")</f>
        <v>0</v>
      </c>
      <c r="I9" s="88" t="n">
        <f aca="false">SUMIFS($F13:$F31,$D13:$D31,"Miscellaneous",$E13:$E31,"8")</f>
        <v>0</v>
      </c>
      <c r="J9" s="88" t="n">
        <f aca="false">SUMIFS($F13:$F31,$D13:$D31,"Miscellaneous",$E13:$E31,"9")</f>
        <v>0</v>
      </c>
      <c r="K9" s="88" t="n">
        <f aca="false">SUMIFS($F13:$F31,$D13:$D31,"Miscellaneous",$E13:$E31,"10")</f>
        <v>0</v>
      </c>
      <c r="L9" s="88" t="n">
        <f aca="false">SUM(B9:K9)</f>
        <v>4000</v>
      </c>
    </row>
    <row r="10" customFormat="false" ht="15" hidden="false" customHeight="false" outlineLevel="0" collapsed="false">
      <c r="A10" s="70" t="s">
        <v>14</v>
      </c>
      <c r="B10" s="89" t="n">
        <f aca="false">SUM(B5:B9)</f>
        <v>19900</v>
      </c>
      <c r="C10" s="89" t="n">
        <f aca="false">SUM(C5:C9)</f>
        <v>0</v>
      </c>
      <c r="D10" s="89" t="n">
        <f aca="false">SUM(D5:D9)</f>
        <v>0</v>
      </c>
      <c r="E10" s="89" t="n">
        <f aca="false">SUM(E5:E9)</f>
        <v>0</v>
      </c>
      <c r="F10" s="89" t="n">
        <f aca="false">SUM(F5:F9)</f>
        <v>3660</v>
      </c>
      <c r="G10" s="89" t="n">
        <f aca="false">SUM(G5:G9)</f>
        <v>0</v>
      </c>
      <c r="H10" s="89" t="n">
        <f aca="false">SUM(H5:H9)</f>
        <v>0</v>
      </c>
      <c r="I10" s="89" t="n">
        <f aca="false">SUM(I5:I9)</f>
        <v>0</v>
      </c>
      <c r="J10" s="89" t="n">
        <f aca="false">SUM(J5:J9)</f>
        <v>0</v>
      </c>
      <c r="K10" s="89" t="n">
        <f aca="false">SUM(K5:K9)</f>
        <v>0</v>
      </c>
      <c r="L10" s="89" t="n">
        <f aca="false">SUM(B10:K10)</f>
        <v>23560</v>
      </c>
    </row>
    <row r="12" customFormat="false" ht="15" hidden="false" customHeight="false" outlineLevel="0" collapsed="false">
      <c r="A12" s="57" t="s">
        <v>74</v>
      </c>
      <c r="B12" s="57" t="s">
        <v>75</v>
      </c>
      <c r="C12" s="57"/>
      <c r="D12" s="57" t="s">
        <v>76</v>
      </c>
      <c r="E12" s="57" t="s">
        <v>77</v>
      </c>
      <c r="F12" s="57" t="s">
        <v>78</v>
      </c>
    </row>
    <row r="13" customFormat="false" ht="15" hidden="false" customHeight="true" outlineLevel="0" collapsed="false">
      <c r="A13" s="90" t="s">
        <v>79</v>
      </c>
      <c r="B13" s="91" t="s">
        <v>80</v>
      </c>
      <c r="C13" s="91"/>
      <c r="D13" s="92" t="s">
        <v>81</v>
      </c>
      <c r="E13" s="93" t="n">
        <v>1</v>
      </c>
      <c r="F13" s="94" t="n">
        <v>10400</v>
      </c>
    </row>
    <row r="14" customFormat="false" ht="15" hidden="false" customHeight="false" outlineLevel="0" collapsed="false">
      <c r="A14" s="95"/>
      <c r="B14" s="96"/>
      <c r="C14" s="97"/>
      <c r="D14" s="92"/>
      <c r="E14" s="93"/>
      <c r="F14" s="94"/>
    </row>
    <row r="15" customFormat="false" ht="15" hidden="false" customHeight="true" outlineLevel="0" collapsed="false">
      <c r="A15" s="95" t="s">
        <v>82</v>
      </c>
      <c r="B15" s="91" t="s">
        <v>83</v>
      </c>
      <c r="C15" s="91"/>
      <c r="D15" s="92" t="s">
        <v>84</v>
      </c>
      <c r="E15" s="93" t="n">
        <v>1</v>
      </c>
      <c r="F15" s="94" t="n">
        <v>4500</v>
      </c>
      <c r="G15" s="0" t="s">
        <v>85</v>
      </c>
    </row>
    <row r="16" customFormat="false" ht="15" hidden="false" customHeight="true" outlineLevel="0" collapsed="false">
      <c r="A16" s="95"/>
      <c r="B16" s="91" t="s">
        <v>86</v>
      </c>
      <c r="C16" s="91"/>
      <c r="D16" s="92" t="s">
        <v>84</v>
      </c>
      <c r="E16" s="93" t="n">
        <v>1</v>
      </c>
      <c r="F16" s="94"/>
    </row>
    <row r="17" customFormat="false" ht="15" hidden="false" customHeight="false" outlineLevel="0" collapsed="false">
      <c r="A17" s="95"/>
      <c r="B17" s="96" t="s">
        <v>87</v>
      </c>
      <c r="C17" s="97"/>
      <c r="D17" s="92" t="s">
        <v>84</v>
      </c>
      <c r="E17" s="93" t="n">
        <v>1</v>
      </c>
      <c r="F17" s="94"/>
    </row>
    <row r="18" customFormat="false" ht="15" hidden="false" customHeight="true" outlineLevel="0" collapsed="false">
      <c r="A18" s="95"/>
      <c r="B18" s="98" t="s">
        <v>88</v>
      </c>
      <c r="C18" s="98"/>
      <c r="D18" s="92" t="s">
        <v>84</v>
      </c>
      <c r="E18" s="93" t="n">
        <v>1</v>
      </c>
      <c r="F18" s="94"/>
    </row>
    <row r="19" customFormat="false" ht="15" hidden="false" customHeight="true" outlineLevel="0" collapsed="false">
      <c r="A19" s="95"/>
      <c r="B19" s="91" t="s">
        <v>89</v>
      </c>
      <c r="C19" s="91"/>
      <c r="D19" s="92" t="s">
        <v>84</v>
      </c>
      <c r="E19" s="93" t="n">
        <v>1</v>
      </c>
      <c r="F19" s="94"/>
    </row>
    <row r="20" customFormat="false" ht="15" hidden="false" customHeight="true" outlineLevel="0" collapsed="false">
      <c r="A20" s="99"/>
      <c r="B20" s="91" t="s">
        <v>90</v>
      </c>
      <c r="C20" s="91"/>
      <c r="D20" s="92" t="s">
        <v>84</v>
      </c>
      <c r="E20" s="93" t="n">
        <v>1</v>
      </c>
      <c r="F20" s="94"/>
      <c r="G20" s="100"/>
      <c r="H20" s="101"/>
      <c r="I20" s="102"/>
      <c r="J20" s="101"/>
      <c r="K20" s="101"/>
    </row>
    <row r="21" customFormat="false" ht="15" hidden="false" customHeight="true" outlineLevel="0" collapsed="false">
      <c r="A21" s="99"/>
      <c r="B21" s="91" t="s">
        <v>90</v>
      </c>
      <c r="C21" s="91"/>
      <c r="D21" s="92" t="s">
        <v>84</v>
      </c>
      <c r="E21" s="93" t="n">
        <v>4</v>
      </c>
      <c r="F21" s="94"/>
      <c r="G21" s="100"/>
      <c r="H21" s="101"/>
      <c r="I21" s="102"/>
      <c r="J21" s="101"/>
      <c r="K21" s="101"/>
    </row>
    <row r="22" customFormat="false" ht="22.5" hidden="false" customHeight="true" outlineLevel="0" collapsed="false">
      <c r="A22" s="103" t="s">
        <v>91</v>
      </c>
      <c r="B22" s="103" t="s">
        <v>92</v>
      </c>
      <c r="C22" s="104"/>
      <c r="D22" s="105" t="s">
        <v>93</v>
      </c>
      <c r="E22" s="106" t="n">
        <v>5</v>
      </c>
      <c r="F22" s="107" t="n">
        <v>3660</v>
      </c>
      <c r="G22" s="100"/>
      <c r="H22" s="101"/>
      <c r="I22" s="102"/>
      <c r="J22" s="101"/>
      <c r="K22" s="101"/>
    </row>
    <row r="23" customFormat="false" ht="15" hidden="false" customHeight="false" outlineLevel="0" collapsed="false">
      <c r="A23" s="108" t="s">
        <v>94</v>
      </c>
      <c r="B23" s="109"/>
      <c r="C23" s="109"/>
      <c r="D23" s="110" t="s">
        <v>95</v>
      </c>
      <c r="E23" s="111" t="n">
        <v>1</v>
      </c>
      <c r="F23" s="112" t="n">
        <v>1000</v>
      </c>
      <c r="H23" s="101"/>
      <c r="I23" s="101"/>
      <c r="J23" s="101"/>
      <c r="K23" s="101"/>
    </row>
    <row r="24" customFormat="false" ht="15" hidden="false" customHeight="false" outlineLevel="0" collapsed="false">
      <c r="A24" s="95"/>
      <c r="B24" s="113"/>
      <c r="C24" s="114"/>
      <c r="D24" s="92"/>
      <c r="E24" s="93"/>
      <c r="F24" s="94"/>
      <c r="H24" s="101"/>
      <c r="I24" s="101"/>
      <c r="J24" s="101"/>
      <c r="K24" s="101"/>
    </row>
    <row r="25" customFormat="false" ht="15" hidden="false" customHeight="false" outlineLevel="0" collapsed="false">
      <c r="A25" s="95" t="s">
        <v>55</v>
      </c>
      <c r="B25" s="91"/>
      <c r="C25" s="91"/>
      <c r="D25" s="92" t="s">
        <v>55</v>
      </c>
      <c r="E25" s="93" t="n">
        <v>1</v>
      </c>
      <c r="F25" s="94" t="n">
        <v>4000</v>
      </c>
    </row>
    <row r="26" customFormat="false" ht="15" hidden="false" customHeight="true" outlineLevel="0" collapsed="false">
      <c r="A26" s="115"/>
      <c r="B26" s="115"/>
      <c r="C26" s="115"/>
      <c r="D26" s="92"/>
      <c r="E26" s="93"/>
      <c r="F26" s="116"/>
      <c r="G26" s="117"/>
      <c r="H26" s="118"/>
      <c r="I26" s="118"/>
      <c r="J26" s="118"/>
      <c r="K26" s="118"/>
    </row>
    <row r="27" customFormat="false" ht="15" hidden="false" customHeight="false" outlineLevel="0" collapsed="false">
      <c r="A27" s="115"/>
      <c r="B27" s="115"/>
      <c r="C27" s="115"/>
      <c r="D27" s="110"/>
      <c r="E27" s="111"/>
      <c r="F27" s="112"/>
      <c r="G27" s="118"/>
      <c r="H27" s="118"/>
      <c r="I27" s="118"/>
      <c r="J27" s="118"/>
      <c r="K27" s="118"/>
    </row>
    <row r="28" customFormat="false" ht="15" hidden="false" customHeight="false" outlineLevel="0" collapsed="false">
      <c r="A28" s="119"/>
      <c r="B28" s="119"/>
      <c r="C28" s="119"/>
      <c r="D28" s="120"/>
      <c r="E28" s="121"/>
      <c r="F28" s="122"/>
      <c r="G28" s="11"/>
      <c r="H28" s="118"/>
      <c r="I28" s="118"/>
      <c r="J28" s="118"/>
      <c r="K28" s="118"/>
    </row>
    <row r="29" customFormat="false" ht="15" hidden="false" customHeight="true" outlineLevel="0" collapsed="false">
      <c r="A29" s="119"/>
      <c r="B29" s="123" t="s">
        <v>96</v>
      </c>
      <c r="C29" s="123"/>
      <c r="D29" s="124"/>
      <c r="E29" s="125"/>
      <c r="F29" s="126"/>
      <c r="G29" s="11"/>
      <c r="H29" s="118"/>
      <c r="I29" s="118"/>
      <c r="J29" s="118"/>
      <c r="K29" s="118"/>
    </row>
    <row r="30" customFormat="false" ht="15" hidden="false" customHeight="false" outlineLevel="0" collapsed="false">
      <c r="A30" s="95"/>
      <c r="B30" s="91"/>
      <c r="C30" s="91"/>
      <c r="D30" s="92"/>
      <c r="E30" s="93"/>
      <c r="F30" s="94"/>
      <c r="G30" s="11"/>
      <c r="H30" s="118"/>
      <c r="I30" s="118"/>
      <c r="J30" s="118"/>
      <c r="K30" s="118"/>
    </row>
    <row r="31" customFormat="false" ht="15" hidden="false" customHeight="false" outlineLevel="0" collapsed="false">
      <c r="A31" s="95"/>
      <c r="B31" s="91"/>
      <c r="C31" s="91"/>
      <c r="D31" s="92"/>
      <c r="E31" s="93"/>
      <c r="F31" s="94"/>
    </row>
    <row r="32" customFormat="false" ht="15" hidden="false" customHeight="false" outlineLevel="0" collapsed="false">
      <c r="A32" s="127" t="s">
        <v>97</v>
      </c>
      <c r="B32" s="127"/>
      <c r="C32" s="127"/>
    </row>
    <row r="33" customFormat="false" ht="15" hidden="false" customHeight="false" outlineLevel="0" collapsed="false">
      <c r="A33" s="127" t="s">
        <v>98</v>
      </c>
      <c r="B33" s="128" t="s">
        <v>99</v>
      </c>
      <c r="C33" s="129" t="s">
        <v>100</v>
      </c>
    </row>
    <row r="36" customFormat="false" ht="21" hidden="false" customHeight="false" outlineLevel="0" collapsed="false">
      <c r="A36" s="1" t="s">
        <v>101</v>
      </c>
    </row>
    <row r="37" customFormat="false" ht="15" hidden="false" customHeight="false" outlineLevel="0" collapsed="false">
      <c r="A37" s="130"/>
      <c r="B37" s="130" t="s">
        <v>102</v>
      </c>
      <c r="C37" s="130" t="s">
        <v>103</v>
      </c>
      <c r="D37" s="130" t="s">
        <v>61</v>
      </c>
      <c r="E37" s="130" t="s">
        <v>62</v>
      </c>
      <c r="F37" s="130" t="s">
        <v>63</v>
      </c>
      <c r="G37" s="130" t="s">
        <v>64</v>
      </c>
      <c r="H37" s="130" t="s">
        <v>65</v>
      </c>
      <c r="I37" s="130" t="s">
        <v>66</v>
      </c>
      <c r="J37" s="130" t="s">
        <v>67</v>
      </c>
      <c r="K37" s="130" t="s">
        <v>68</v>
      </c>
      <c r="L37" s="130" t="s">
        <v>14</v>
      </c>
    </row>
    <row r="38" customFormat="false" ht="15" hidden="false" customHeight="false" outlineLevel="0" collapsed="false">
      <c r="A38" s="131"/>
      <c r="B38" s="132" t="s">
        <v>104</v>
      </c>
      <c r="C38" s="132" t="s">
        <v>104</v>
      </c>
      <c r="D38" s="132" t="s">
        <v>70</v>
      </c>
      <c r="E38" s="132" t="s">
        <v>71</v>
      </c>
      <c r="F38" s="132" t="s">
        <v>73</v>
      </c>
      <c r="G38" s="132" t="s">
        <v>73</v>
      </c>
      <c r="H38" s="132" t="s">
        <v>73</v>
      </c>
      <c r="I38" s="132" t="s">
        <v>73</v>
      </c>
      <c r="J38" s="132" t="s">
        <v>73</v>
      </c>
      <c r="K38" s="132" t="s">
        <v>73</v>
      </c>
      <c r="L38" s="131"/>
    </row>
    <row r="39" customFormat="false" ht="13.8" hidden="false" customHeight="false" outlineLevel="0" collapsed="false">
      <c r="A39" s="78" t="s">
        <v>81</v>
      </c>
      <c r="B39" s="87" t="n">
        <f aca="false">SUMIFS($F47:$F69,$D47:$D69,"Staff costs",$E47:$E69,"1")</f>
        <v>0</v>
      </c>
      <c r="C39" s="87" t="n">
        <f aca="false">SUMIFS($F47:$F69,$D47:$D69,"Staff costs",$E47:$E69,"2")</f>
        <v>0</v>
      </c>
      <c r="D39" s="87" t="n">
        <f aca="false">SUMIFS($F47:$F69,$D47:$D69,"Staff costs",$E47:$E69,"3")</f>
        <v>0</v>
      </c>
      <c r="E39" s="87" t="n">
        <f aca="false">SUMIFS($F47:$F69,$D47:$D69,"Staff costs",$E47:$E69,"4")</f>
        <v>0</v>
      </c>
      <c r="F39" s="87" t="n">
        <f aca="false">SUMIFS($F47:$F69,$D47:$D69,"Staff costs",$E47:$E69,"5")</f>
        <v>0</v>
      </c>
      <c r="G39" s="87" t="n">
        <f aca="false">SUMIFS($F47:$F69,$D47:$D69,"Staff costs",$E47:$E69,"6")</f>
        <v>0</v>
      </c>
      <c r="H39" s="87" t="n">
        <f aca="false">SUMIFS($F47:$F69,$D47:$D69,"Staff costs",$E47:$E69,"7")</f>
        <v>0</v>
      </c>
      <c r="I39" s="87" t="n">
        <f aca="false">SUMIFS($F47:$F69,$D47:$D69,"Staff costs",$E47:$E69,"8")</f>
        <v>0</v>
      </c>
      <c r="J39" s="87" t="n">
        <f aca="false">SUMIFS($F47:$F69,$D47:$D69,"Staff costs",$E47:$E69,"9")</f>
        <v>0</v>
      </c>
      <c r="K39" s="87" t="n">
        <f aca="false">SUMIFS($F47:$F69,$D47:$D69,"Staff costs",$E47:$E69,"10")</f>
        <v>0</v>
      </c>
      <c r="L39" s="87" t="n">
        <f aca="false">SUM(B39:K39)</f>
        <v>0</v>
      </c>
    </row>
    <row r="40" customFormat="false" ht="13.8" hidden="false" customHeight="false" outlineLevel="0" collapsed="false">
      <c r="A40" s="78" t="s">
        <v>50</v>
      </c>
      <c r="B40" s="87" t="n">
        <f aca="false">SUMIFS($F47:$F69,$D47:$D69,"Management",$E47:$E69,"1")</f>
        <v>0</v>
      </c>
      <c r="C40" s="87" t="n">
        <f aca="false">SUMIFS($F47:$F69,$D47:$D69,"Management",$E47:$E69,"2")</f>
        <v>0</v>
      </c>
      <c r="D40" s="87" t="n">
        <f aca="false">SUMIFS($F47:$F69,$D47:$D69,"Management",$E47:$E69,"3")</f>
        <v>0</v>
      </c>
      <c r="E40" s="87" t="n">
        <f aca="false">SUMIFS($F47:$F69,$D47:$D69,"Management",$E47:$E69,"4")</f>
        <v>0</v>
      </c>
      <c r="F40" s="87" t="n">
        <f aca="false">SUMIFS($F47:$F69,$D47:$D69,"Management",$E47:$E69,"5")</f>
        <v>0</v>
      </c>
      <c r="G40" s="87" t="n">
        <f aca="false">SUMIFS($F47:$F69,$D47:$D69,"Management",$E47:$E69,"6")</f>
        <v>0</v>
      </c>
      <c r="H40" s="87" t="n">
        <f aca="false">SUMIFS($F47:$F69,$D47:$D69,"Management",$E47:$E69,"7")</f>
        <v>0</v>
      </c>
      <c r="I40" s="87" t="n">
        <f aca="false">SUMIFS($F47:$F69,$D47:$D69,"Management",$E47:$E69,"8")</f>
        <v>0</v>
      </c>
      <c r="J40" s="87" t="n">
        <f aca="false">SUMIFS($F47:$F69,$D47:$D69,"Management",$E47:$E69,"9")</f>
        <v>0</v>
      </c>
      <c r="K40" s="87" t="n">
        <f aca="false">SUMIFS($F47:$F69,$D47:$D69,"Management",$E47:$E69,"10")</f>
        <v>0</v>
      </c>
      <c r="L40" s="87" t="n">
        <f aca="false">SUM(B40:K40)</f>
        <v>0</v>
      </c>
    </row>
    <row r="41" customFormat="false" ht="13.8" hidden="false" customHeight="false" outlineLevel="0" collapsed="false">
      <c r="A41" s="78" t="s">
        <v>52</v>
      </c>
      <c r="B41" s="87" t="n">
        <f aca="false">SUMIFS($F47:$F69,$D47:$D69,"Research stays",$E47:$E69,"1")</f>
        <v>0</v>
      </c>
      <c r="C41" s="87" t="n">
        <f aca="false">SUMIFS($F47:$F69,$D47:$D69,"Research stays",$E47:$E69,"2")</f>
        <v>0</v>
      </c>
      <c r="D41" s="87" t="n">
        <f aca="false">SUMIFS($F47:$F69,$D47:$D69,"Research stays",$E47:$E69,"3")</f>
        <v>0</v>
      </c>
      <c r="E41" s="87" t="n">
        <f aca="false">SUMIFS($F47:$F69,$D47:$D69,"Research stays",$E47:$E69,"4")</f>
        <v>0</v>
      </c>
      <c r="F41" s="87" t="n">
        <f aca="false">SUMIFS($F47:$F69,$D47:$D69,"Research stays",$E47:$E69,"5")</f>
        <v>0</v>
      </c>
      <c r="G41" s="87" t="n">
        <f aca="false">SUMIFS($F47:$F69,$D47:$D69,"Research stays",$E47:$E69,"6")</f>
        <v>0</v>
      </c>
      <c r="H41" s="87" t="n">
        <f aca="false">SUMIFS($F47:$F69,$D47:$D69,"Research stays",$E47:$E69,"7")</f>
        <v>0</v>
      </c>
      <c r="I41" s="87" t="n">
        <f aca="false">SUMIFS($F47:$F69,$D47:$D69,"Research stays",$E47:$E69,"8")</f>
        <v>0</v>
      </c>
      <c r="J41" s="87" t="n">
        <f aca="false">SUMIFS($F47:$F69,$D47:$D69,"Research stays",$E47:$E69,"9")</f>
        <v>0</v>
      </c>
      <c r="K41" s="87" t="n">
        <f aca="false">SUMIFS($F47:$F69,$D47:$D69,"Research stays",$E47:$E69,"10")</f>
        <v>0</v>
      </c>
      <c r="L41" s="87" t="n">
        <f aca="false">SUM(B41:K41)</f>
        <v>0</v>
      </c>
    </row>
    <row r="42" customFormat="false" ht="13.8" hidden="false" customHeight="false" outlineLevel="0" collapsed="false">
      <c r="A42" s="78" t="s">
        <v>53</v>
      </c>
      <c r="B42" s="87" t="n">
        <f aca="false">SUMIFS($F47:$F69,$D47:$D69,"Meetings &amp; events",$E47:$E69,"1")</f>
        <v>0</v>
      </c>
      <c r="C42" s="87" t="n">
        <f aca="false">SUMIFS($F47:$F69,$D47:$D69,"Meetings &amp; events",$E47:$E69,"2")</f>
        <v>0</v>
      </c>
      <c r="D42" s="87" t="n">
        <f aca="false">SUMIFS($F47:$F69,$D47:$D69,"Meetings &amp; events",$E47:$E69,"3")</f>
        <v>0</v>
      </c>
      <c r="E42" s="87" t="n">
        <f aca="false">SUMIFS($F47:$F69,$D47:$D69,"Meetings &amp; events",$E47:$E69,"4")</f>
        <v>0</v>
      </c>
      <c r="F42" s="87" t="n">
        <f aca="false">SUMIFS($F47:$F69,$D47:$D69,"Meetings &amp; events",$E47:$E69,"5")</f>
        <v>0</v>
      </c>
      <c r="G42" s="87" t="n">
        <f aca="false">SUMIFS($F47:$F69,$D47:$D69,"Meetings &amp; events",$E47:$E69,"6")</f>
        <v>0</v>
      </c>
      <c r="H42" s="87" t="n">
        <f aca="false">SUMIFS($F47:$F69,$D47:$D69,"Meetings &amp; events",$E47:$E69,"7")</f>
        <v>0</v>
      </c>
      <c r="I42" s="87" t="n">
        <f aca="false">SUMIFS($F47:$F69,$D47:$D69,"Meetings &amp; events",$E47:$E69,"8")</f>
        <v>0</v>
      </c>
      <c r="J42" s="87" t="n">
        <f aca="false">SUMIFS($F47:$F69,$D47:$D69,"Meetings &amp; events",$E47:$E69,"9")</f>
        <v>0</v>
      </c>
      <c r="K42" s="87" t="n">
        <f aca="false">SUMIFS($F47:$F69,$D47:$D69,"Meetings &amp; events",$E47:$E69,"10")</f>
        <v>0</v>
      </c>
      <c r="L42" s="87" t="n">
        <f aca="false">SUM(B42:K42)</f>
        <v>0</v>
      </c>
    </row>
    <row r="43" customFormat="false" ht="13.8" hidden="false" customHeight="false" outlineLevel="0" collapsed="false">
      <c r="A43" s="80" t="s">
        <v>55</v>
      </c>
      <c r="B43" s="88" t="n">
        <f aca="false">SUMIFS($F47:$F69,$D47:$D69,"Miscellaneous",$E47:$E69,"1")</f>
        <v>0</v>
      </c>
      <c r="C43" s="88" t="n">
        <f aca="false">SUMIFS($F47:$F69,$D47:$D69,"Aladin Flat-rate LACE",$E47:$E69,"2")</f>
        <v>0</v>
      </c>
      <c r="D43" s="88" t="n">
        <f aca="false">SUMIFS($F47:$F69,$D47:$D69,"Aladin Flat-rate LACE",$E47:$E69,"3")</f>
        <v>0</v>
      </c>
      <c r="E43" s="88" t="n">
        <f aca="false">SUMIFS($F47:$F69,$D47:$D69,"Aladin Flat-rate LACE",$E47:$E69,"4")</f>
        <v>0</v>
      </c>
      <c r="F43" s="88" t="n">
        <f aca="false">SUMIFS($F47:$F69,$D47:$D69,"Aladin Flat-rate LACE",$E47:$E69,"5")</f>
        <v>0</v>
      </c>
      <c r="G43" s="88" t="n">
        <f aca="false">SUMIFS($F47:$F69,$D47:$D69,"Aladin Flat-rate LACE",$E47:$E69,"6")</f>
        <v>0</v>
      </c>
      <c r="H43" s="88" t="n">
        <f aca="false">SUMIFS($F47:$F69,$D47:$D69,"Aladin Flat-rate LACE",$E47:$E69,"7")</f>
        <v>0</v>
      </c>
      <c r="I43" s="88" t="n">
        <f aca="false">SUMIFS($F47:$F69,$D47:$D69,"Aladin Flat-rate LACE",$E47:$E69,"8")</f>
        <v>0</v>
      </c>
      <c r="J43" s="88" t="n">
        <f aca="false">SUMIFS($F47:$F69,$D47:$D69,"Aladin Flat-rate LACE",$E47:$E69,"9")</f>
        <v>0</v>
      </c>
      <c r="K43" s="88" t="n">
        <f aca="false">SUMIFS($F47:$F69,$D47:$D69,"Aladin Flat-rate LACE",$E47:$E69,"10")</f>
        <v>0</v>
      </c>
      <c r="L43" s="87" t="n">
        <f aca="false">SUM(B43:K43)</f>
        <v>0</v>
      </c>
    </row>
    <row r="44" customFormat="false" ht="13.8" hidden="false" customHeight="false" outlineLevel="0" collapsed="false">
      <c r="A44" s="81" t="s">
        <v>14</v>
      </c>
      <c r="B44" s="89" t="n">
        <f aca="false">SUM(B39:B43)</f>
        <v>0</v>
      </c>
      <c r="C44" s="89" t="n">
        <f aca="false">SUM(C39:C43)</f>
        <v>0</v>
      </c>
      <c r="D44" s="89" t="n">
        <f aca="false">SUM(D39:D43)</f>
        <v>0</v>
      </c>
      <c r="E44" s="89" t="n">
        <f aca="false">SUM(E39:E43)</f>
        <v>0</v>
      </c>
      <c r="F44" s="89" t="n">
        <f aca="false">SUM(F39:F43)</f>
        <v>0</v>
      </c>
      <c r="G44" s="89" t="n">
        <f aca="false">SUM(G39:G43)</f>
        <v>0</v>
      </c>
      <c r="H44" s="89" t="n">
        <f aca="false">SUM(H39:H43)</f>
        <v>0</v>
      </c>
      <c r="I44" s="89" t="n">
        <f aca="false">SUM(I39:I43)</f>
        <v>0</v>
      </c>
      <c r="J44" s="89" t="n">
        <f aca="false">SUM(J39:J43)</f>
        <v>0</v>
      </c>
      <c r="K44" s="89" t="n">
        <f aca="false">SUM(K39:K43)</f>
        <v>0</v>
      </c>
      <c r="L44" s="87" t="n">
        <f aca="false">SUM(B44:K44)</f>
        <v>0</v>
      </c>
    </row>
    <row r="46" customFormat="false" ht="15" hidden="false" customHeight="false" outlineLevel="0" collapsed="false">
      <c r="A46" s="76" t="s">
        <v>105</v>
      </c>
      <c r="B46" s="76" t="s">
        <v>75</v>
      </c>
      <c r="C46" s="76"/>
      <c r="D46" s="76" t="s">
        <v>76</v>
      </c>
      <c r="E46" s="76" t="s">
        <v>77</v>
      </c>
      <c r="F46" s="76" t="s">
        <v>4</v>
      </c>
      <c r="G46" s="133" t="s">
        <v>106</v>
      </c>
      <c r="H46" s="133" t="s">
        <v>107</v>
      </c>
      <c r="I46" s="133" t="s">
        <v>108</v>
      </c>
      <c r="J46" s="133" t="s">
        <v>109</v>
      </c>
      <c r="K46" s="133" t="s">
        <v>110</v>
      </c>
      <c r="L46" s="134" t="s">
        <v>111</v>
      </c>
    </row>
    <row r="47" customFormat="false" ht="15" hidden="false" customHeight="true" outlineLevel="0" collapsed="false">
      <c r="A47" s="95"/>
      <c r="B47" s="115"/>
      <c r="C47" s="115"/>
      <c r="D47" s="92"/>
      <c r="E47" s="93"/>
      <c r="F47" s="94"/>
      <c r="G47" s="135"/>
      <c r="H47" s="135"/>
      <c r="I47" s="135"/>
      <c r="J47" s="135"/>
      <c r="K47" s="135"/>
      <c r="L47" s="136"/>
      <c r="M47" s="137"/>
      <c r="N47" s="137"/>
      <c r="O47" s="137"/>
    </row>
    <row r="48" customFormat="false" ht="22.35" hidden="false" customHeight="true" outlineLevel="0" collapsed="false">
      <c r="A48" s="95"/>
      <c r="B48" s="91"/>
      <c r="C48" s="91"/>
      <c r="D48" s="92"/>
      <c r="E48" s="93"/>
      <c r="F48" s="94"/>
      <c r="G48" s="135"/>
      <c r="H48" s="135"/>
      <c r="I48" s="135"/>
      <c r="J48" s="135"/>
      <c r="K48" s="135"/>
      <c r="L48" s="136"/>
    </row>
    <row r="49" customFormat="false" ht="13.8" hidden="false" customHeight="true" outlineLevel="0" collapsed="false">
      <c r="A49" s="95"/>
      <c r="B49" s="115"/>
      <c r="C49" s="115"/>
      <c r="D49" s="92"/>
      <c r="E49" s="93"/>
      <c r="F49" s="94"/>
      <c r="G49" s="135"/>
      <c r="H49" s="135"/>
      <c r="I49" s="135"/>
      <c r="J49" s="135"/>
      <c r="K49" s="135"/>
      <c r="L49" s="136"/>
    </row>
    <row r="50" customFormat="false" ht="13.8" hidden="false" customHeight="false" outlineLevel="0" collapsed="false">
      <c r="A50" s="95"/>
      <c r="B50" s="96"/>
      <c r="C50" s="97"/>
      <c r="D50" s="92"/>
      <c r="E50" s="93"/>
      <c r="F50" s="94"/>
      <c r="G50" s="135"/>
      <c r="H50" s="135"/>
      <c r="I50" s="135"/>
      <c r="J50" s="135"/>
      <c r="K50" s="135"/>
      <c r="L50" s="136"/>
    </row>
    <row r="51" customFormat="false" ht="13.8" hidden="false" customHeight="true" outlineLevel="0" collapsed="false">
      <c r="A51" s="95"/>
      <c r="B51" s="91"/>
      <c r="C51" s="91"/>
      <c r="D51" s="92"/>
      <c r="E51" s="93"/>
      <c r="F51" s="94"/>
      <c r="G51" s="135"/>
      <c r="H51" s="135"/>
      <c r="I51" s="138"/>
      <c r="J51" s="135"/>
      <c r="K51" s="135"/>
      <c r="L51" s="136"/>
    </row>
    <row r="52" customFormat="false" ht="13.8" hidden="false" customHeight="true" outlineLevel="0" collapsed="false">
      <c r="A52" s="95"/>
      <c r="B52" s="91"/>
      <c r="C52" s="91"/>
      <c r="D52" s="92"/>
      <c r="E52" s="93"/>
      <c r="F52" s="112"/>
      <c r="G52" s="135"/>
      <c r="H52" s="135"/>
      <c r="I52" s="135"/>
      <c r="J52" s="135"/>
      <c r="K52" s="135"/>
      <c r="L52" s="136"/>
    </row>
    <row r="53" customFormat="false" ht="15" hidden="false" customHeight="false" outlineLevel="0" collapsed="false">
      <c r="A53" s="95"/>
      <c r="B53" s="91"/>
      <c r="C53" s="91"/>
      <c r="D53" s="92"/>
      <c r="E53" s="93"/>
      <c r="F53" s="112"/>
      <c r="G53" s="135"/>
      <c r="H53" s="135"/>
      <c r="I53" s="135"/>
      <c r="J53" s="135"/>
      <c r="K53" s="135"/>
      <c r="L53" s="136"/>
    </row>
    <row r="54" customFormat="false" ht="15" hidden="false" customHeight="true" outlineLevel="0" collapsed="false">
      <c r="A54" s="95"/>
      <c r="B54" s="91"/>
      <c r="C54" s="91"/>
      <c r="D54" s="92"/>
      <c r="E54" s="93"/>
      <c r="F54" s="94"/>
      <c r="G54" s="135"/>
      <c r="H54" s="135"/>
      <c r="I54" s="135"/>
      <c r="J54" s="135"/>
      <c r="K54" s="135"/>
      <c r="L54" s="136"/>
    </row>
    <row r="55" customFormat="false" ht="15" hidden="false" customHeight="false" outlineLevel="0" collapsed="false">
      <c r="A55" s="115"/>
      <c r="B55" s="115"/>
      <c r="C55" s="115"/>
      <c r="D55" s="92"/>
      <c r="E55" s="93"/>
      <c r="F55" s="139"/>
      <c r="G55" s="135"/>
      <c r="H55" s="135"/>
      <c r="I55" s="135"/>
      <c r="J55" s="135"/>
      <c r="K55" s="135"/>
      <c r="L55" s="136"/>
    </row>
    <row r="56" customFormat="false" ht="15" hidden="false" customHeight="false" outlineLevel="0" collapsed="false">
      <c r="A56" s="115"/>
      <c r="B56" s="91"/>
      <c r="C56" s="91"/>
      <c r="D56" s="92"/>
      <c r="E56" s="93"/>
      <c r="F56" s="112"/>
      <c r="G56" s="135"/>
      <c r="H56" s="135"/>
      <c r="I56" s="135"/>
      <c r="J56" s="135"/>
      <c r="K56" s="135"/>
      <c r="L56" s="136"/>
    </row>
    <row r="57" customFormat="false" ht="15" hidden="false" customHeight="false" outlineLevel="0" collapsed="false">
      <c r="A57" s="95"/>
      <c r="B57" s="91"/>
      <c r="C57" s="91"/>
      <c r="D57" s="92"/>
      <c r="E57" s="93"/>
      <c r="F57" s="94"/>
      <c r="G57" s="135"/>
      <c r="H57" s="135"/>
      <c r="I57" s="135"/>
      <c r="J57" s="135"/>
      <c r="K57" s="135"/>
      <c r="L57" s="136"/>
    </row>
    <row r="58" customFormat="false" ht="15" hidden="false" customHeight="false" outlineLevel="0" collapsed="false">
      <c r="A58" s="95"/>
      <c r="B58" s="91"/>
      <c r="C58" s="91"/>
      <c r="D58" s="92"/>
      <c r="E58" s="93"/>
      <c r="F58" s="94"/>
      <c r="G58" s="135"/>
      <c r="H58" s="135"/>
      <c r="I58" s="135"/>
      <c r="J58" s="135"/>
      <c r="K58" s="135"/>
      <c r="L58" s="136"/>
    </row>
    <row r="59" customFormat="false" ht="15" hidden="false" customHeight="false" outlineLevel="0" collapsed="false">
      <c r="A59" s="95"/>
      <c r="B59" s="91"/>
      <c r="C59" s="91"/>
      <c r="D59" s="92"/>
      <c r="E59" s="93"/>
      <c r="F59" s="94"/>
      <c r="G59" s="135"/>
      <c r="H59" s="135"/>
      <c r="I59" s="135"/>
      <c r="J59" s="135"/>
      <c r="K59" s="135"/>
      <c r="L59" s="136"/>
    </row>
    <row r="60" customFormat="false" ht="15" hidden="false" customHeight="false" outlineLevel="0" collapsed="false">
      <c r="A60" s="95"/>
      <c r="B60" s="91"/>
      <c r="C60" s="91"/>
      <c r="D60" s="92"/>
      <c r="E60" s="93"/>
      <c r="F60" s="94"/>
      <c r="G60" s="135"/>
      <c r="H60" s="135"/>
      <c r="I60" s="135"/>
      <c r="J60" s="135"/>
      <c r="K60" s="135"/>
      <c r="L60" s="136"/>
    </row>
    <row r="61" customFormat="false" ht="15" hidden="false" customHeight="false" outlineLevel="0" collapsed="false">
      <c r="A61" s="115"/>
      <c r="B61" s="115"/>
      <c r="C61" s="115"/>
      <c r="D61" s="110"/>
      <c r="E61" s="93"/>
      <c r="F61" s="94"/>
      <c r="G61" s="135"/>
      <c r="H61" s="135"/>
      <c r="I61" s="135"/>
      <c r="L61" s="140"/>
    </row>
    <row r="62" customFormat="false" ht="15" hidden="false" customHeight="false" outlineLevel="0" collapsed="false">
      <c r="A62" s="141"/>
      <c r="B62" s="115"/>
      <c r="C62" s="115"/>
      <c r="D62" s="110"/>
      <c r="E62" s="93"/>
      <c r="F62" s="94"/>
      <c r="G62" s="142"/>
      <c r="H62" s="135"/>
      <c r="I62" s="135"/>
      <c r="L62" s="140"/>
    </row>
    <row r="63" customFormat="false" ht="15" hidden="false" customHeight="false" outlineLevel="0" collapsed="false">
      <c r="A63" s="95"/>
      <c r="B63" s="91"/>
      <c r="C63" s="91"/>
      <c r="D63" s="92"/>
      <c r="E63" s="93"/>
      <c r="F63" s="143"/>
      <c r="G63" s="144"/>
      <c r="L63" s="140"/>
    </row>
    <row r="64" customFormat="false" ht="15" hidden="false" customHeight="false" outlineLevel="0" collapsed="false">
      <c r="A64" s="95"/>
      <c r="B64" s="91"/>
      <c r="C64" s="91"/>
      <c r="D64" s="92"/>
      <c r="E64" s="93"/>
      <c r="F64" s="143"/>
      <c r="G64" s="144"/>
      <c r="L64" s="140"/>
    </row>
    <row r="65" customFormat="false" ht="15" hidden="false" customHeight="false" outlineLevel="0" collapsed="false">
      <c r="A65" s="95"/>
      <c r="B65" s="91"/>
      <c r="C65" s="91"/>
      <c r="D65" s="92"/>
      <c r="E65" s="93"/>
      <c r="F65" s="143"/>
      <c r="G65" s="144"/>
      <c r="L65" s="140"/>
    </row>
    <row r="66" customFormat="false" ht="15" hidden="false" customHeight="false" outlineLevel="0" collapsed="false">
      <c r="A66" s="115"/>
      <c r="B66" s="91"/>
      <c r="C66" s="91"/>
      <c r="D66" s="92"/>
      <c r="E66" s="93"/>
      <c r="F66" s="143"/>
      <c r="G66" s="144"/>
      <c r="L66" s="140"/>
    </row>
    <row r="67" customFormat="false" ht="15" hidden="false" customHeight="false" outlineLevel="0" collapsed="false">
      <c r="A67" s="95"/>
      <c r="B67" s="96"/>
      <c r="C67" s="97"/>
      <c r="D67" s="92"/>
      <c r="E67" s="93"/>
      <c r="F67" s="94"/>
      <c r="G67" s="145"/>
      <c r="H67" s="135"/>
      <c r="I67" s="135"/>
      <c r="J67" s="135"/>
      <c r="K67" s="135"/>
      <c r="L67" s="140"/>
    </row>
    <row r="68" customFormat="false" ht="15" hidden="false" customHeight="false" outlineLevel="0" collapsed="false">
      <c r="A68" s="95"/>
      <c r="B68" s="91"/>
      <c r="C68" s="91"/>
      <c r="D68" s="92"/>
      <c r="E68" s="93"/>
      <c r="F68" s="94"/>
      <c r="G68" s="145"/>
      <c r="L68" s="140"/>
    </row>
    <row r="69" customFormat="false" ht="15" hidden="false" customHeight="false" outlineLevel="0" collapsed="false">
      <c r="A69" s="95"/>
      <c r="B69" s="91"/>
      <c r="C69" s="91"/>
      <c r="D69" s="92"/>
      <c r="E69" s="93"/>
      <c r="F69" s="94"/>
      <c r="G69" s="145"/>
      <c r="L69" s="140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8">
    <mergeCell ref="B12:C12"/>
    <mergeCell ref="B13:C13"/>
    <mergeCell ref="B15:C15"/>
    <mergeCell ref="B16:C16"/>
    <mergeCell ref="B18:C18"/>
    <mergeCell ref="B19:C19"/>
    <mergeCell ref="B20:C20"/>
    <mergeCell ref="B21:C21"/>
    <mergeCell ref="B23:C23"/>
    <mergeCell ref="B25:C25"/>
    <mergeCell ref="B26:C26"/>
    <mergeCell ref="B27:C27"/>
    <mergeCell ref="B28:C28"/>
    <mergeCell ref="B29:C29"/>
    <mergeCell ref="B30:C30"/>
    <mergeCell ref="B31:C31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8:C68"/>
    <mergeCell ref="B69:C69"/>
  </mergeCells>
  <dataValidations count="7">
    <dataValidation allowBlank="true" operator="equal" showDropDown="false" showErrorMessage="true" showInputMessage="true" sqref="D13:D17 D27:D31 D47:D49 D51 D55 D57:D58 D60 D63:D69" type="list">
      <formula1>"Staff costs,Management,Research stays,Meetings &amp; events,Aladin Flat-rate LACE"</formula1>
      <formula2>0</formula2>
    </dataValidation>
    <dataValidation allowBlank="true" operator="equal" showDropDown="false" showErrorMessage="true" showInputMessage="true" sqref="E13:E17 E19:E22 E25:E31 E47:E49 E51 E55 E57:E60 E63:E69" type="list">
      <formula1>"1,2,3,4,5,6,7,8,9,10,11,12,13,14"</formula1>
      <formula2>0</formula2>
    </dataValidation>
    <dataValidation allowBlank="true" operator="equal" showDropDown="false" showErrorMessage="true" showInputMessage="true" sqref="D18 D23:D24 D52:D54 D56 D61:D62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18 E23:E24 E52:E54 E56 E61:E62" type="list">
      <formula1>"1,2,3,4,5,6,7,8,9,10"</formula1>
      <formula2>0</formula2>
    </dataValidation>
    <dataValidation allowBlank="true" operator="equal" showDropDown="false" showErrorMessage="true" showInputMessage="true" sqref="D19:D22 D25:D26 D59" type="list">
      <formula1>"Staff costs,Management,Research stays,Meetings &amp; events,Miscellaneous"</formula1>
      <formula2>0</formula2>
    </dataValidation>
    <dataValidation allowBlank="true" operator="equal" showDropDown="false" showErrorMessage="true" showInputMessage="true" sqref="D50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50" type="list">
      <formula1>"1,2,3,4,5,6,7,8,9,10"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RowHeight="15" zeroHeight="false" outlineLevelRow="0" outlineLevelCol="0"/>
  <cols>
    <col collapsed="false" customWidth="true" hidden="false" outlineLevel="0" max="1" min="1" style="0" width="32.42"/>
    <col collapsed="false" customWidth="true" hidden="false" outlineLevel="0" max="4" min="2" style="0" width="18.71"/>
    <col collapsed="false" customWidth="true" hidden="false" outlineLevel="0" max="5" min="5" style="0" width="16.57"/>
    <col collapsed="false" customWidth="true" hidden="false" outlineLevel="0" max="8" min="6" style="0" width="16.71"/>
    <col collapsed="false" customWidth="true" hidden="false" outlineLevel="0" max="9" min="9" style="0" width="17.13"/>
    <col collapsed="false" customWidth="true" hidden="false" outlineLevel="0" max="10" min="10" style="0" width="15.29"/>
    <col collapsed="false" customWidth="true" hidden="false" outlineLevel="0" max="11" min="11" style="0" width="14.69"/>
    <col collapsed="false" customWidth="true" hidden="false" outlineLevel="0" max="12" min="12" style="0" width="13.43"/>
    <col collapsed="false" customWidth="true" hidden="false" outlineLevel="0" max="1025" min="13" style="0" width="10.65"/>
  </cols>
  <sheetData>
    <row r="1" customFormat="false" ht="15" hidden="false" customHeight="false" outlineLevel="0" collapsed="false">
      <c r="G1" s="83"/>
    </row>
    <row r="2" customFormat="false" ht="21" hidden="false" customHeight="false" outlineLevel="0" collapsed="false">
      <c r="A2" s="1" t="s">
        <v>112</v>
      </c>
    </row>
    <row r="3" customFormat="false" ht="15" hidden="false" customHeight="false" outlineLevel="0" collapsed="false">
      <c r="A3" s="84"/>
      <c r="B3" s="84" t="s">
        <v>59</v>
      </c>
      <c r="C3" s="84" t="s">
        <v>60</v>
      </c>
      <c r="D3" s="84" t="s">
        <v>61</v>
      </c>
      <c r="E3" s="84" t="s">
        <v>62</v>
      </c>
      <c r="F3" s="84" t="s">
        <v>63</v>
      </c>
      <c r="G3" s="84" t="s">
        <v>64</v>
      </c>
      <c r="H3" s="84" t="s">
        <v>65</v>
      </c>
      <c r="I3" s="84" t="s">
        <v>66</v>
      </c>
      <c r="J3" s="84" t="s">
        <v>67</v>
      </c>
      <c r="K3" s="84" t="s">
        <v>68</v>
      </c>
      <c r="L3" s="84" t="s">
        <v>14</v>
      </c>
    </row>
    <row r="4" customFormat="false" ht="23.85" hidden="false" customHeight="false" outlineLevel="0" collapsed="false">
      <c r="A4" s="85"/>
      <c r="B4" s="146" t="s">
        <v>113</v>
      </c>
      <c r="C4" s="146" t="s">
        <v>114</v>
      </c>
      <c r="D4" s="146" t="s">
        <v>115</v>
      </c>
      <c r="E4" s="146" t="s">
        <v>116</v>
      </c>
      <c r="F4" s="146" t="s">
        <v>73</v>
      </c>
      <c r="G4" s="146" t="s">
        <v>73</v>
      </c>
      <c r="H4" s="146" t="s">
        <v>73</v>
      </c>
      <c r="I4" s="146" t="s">
        <v>73</v>
      </c>
      <c r="J4" s="146" t="s">
        <v>73</v>
      </c>
      <c r="K4" s="146" t="s">
        <v>73</v>
      </c>
      <c r="L4" s="85"/>
    </row>
    <row r="5" customFormat="false" ht="15" hidden="false" customHeight="false" outlineLevel="0" collapsed="false">
      <c r="A5" s="60" t="s">
        <v>48</v>
      </c>
      <c r="B5" s="87" t="n">
        <f aca="false">SUMIFS($F13:$F25,$D13:$D25,"Staff costs",$E13:$E25,"1")</f>
        <v>7800</v>
      </c>
      <c r="C5" s="87" t="n">
        <f aca="false">SUMIFS($F13:$F25,$D13:$D25,"Staff costs",$E13:$E25,"2")</f>
        <v>0</v>
      </c>
      <c r="D5" s="87" t="n">
        <f aca="false">SUMIFS($F13:$F25,$D13:$D25,"Staff costs",$E13:$E25,"3")</f>
        <v>0</v>
      </c>
      <c r="E5" s="87" t="n">
        <f aca="false">SUMIFS($F13:$F25,$D13:$D25,"Staff costs",$E13:$E25,"4")</f>
        <v>0</v>
      </c>
      <c r="F5" s="87" t="n">
        <f aca="false">SUMIFS($F13:$F25,$D13:$D25,"Staff costs",$E13:$E25,"5")</f>
        <v>0</v>
      </c>
      <c r="G5" s="87" t="n">
        <f aca="false">SUMIFS($F13:$F25,$D13:$D25,"Staff costs",$E13:$E25,"6")</f>
        <v>0</v>
      </c>
      <c r="H5" s="87" t="n">
        <f aca="false">SUMIFS($F13:$F25,$D13:$D25,"Staff costs",$E13:$E25,"7")</f>
        <v>0</v>
      </c>
      <c r="I5" s="87" t="n">
        <f aca="false">SUMIFS($F13:$F25,$D13:$D25,"Staff costs",$E13:$E25,"8")</f>
        <v>0</v>
      </c>
      <c r="J5" s="87" t="n">
        <f aca="false">SUMIFS($F13:$F25,$D13:$D25,"Staff costs",$E13:$E25,"9")</f>
        <v>0</v>
      </c>
      <c r="K5" s="87" t="n">
        <f aca="false">SUMIFS($F13:$F25,$D13:$D25,"Staff costs",$E13:$E25,"10")</f>
        <v>0</v>
      </c>
      <c r="L5" s="87" t="n">
        <f aca="false">SUM(B5:K5)</f>
        <v>7800</v>
      </c>
    </row>
    <row r="6" customFormat="false" ht="15" hidden="false" customHeight="false" outlineLevel="0" collapsed="false">
      <c r="A6" s="60" t="s">
        <v>50</v>
      </c>
      <c r="B6" s="87" t="n">
        <f aca="false">SUMIFS($F13:$F25,$D13:$D25,"Management",$E13:$E25,"1")</f>
        <v>3000</v>
      </c>
      <c r="C6" s="87" t="n">
        <f aca="false">SUMIFS($F13:$F25,$D13:$D25,"Management",$E13:$E25,"2")</f>
        <v>0</v>
      </c>
      <c r="D6" s="87" t="n">
        <f aca="false">SUMIFS($F13:$F25,$D13:$D25,"Management",$E13:$E25,"3")</f>
        <v>0</v>
      </c>
      <c r="E6" s="87" t="n">
        <f aca="false">SUMIFS($F13:$F25,$D13:$D25,"Management",$E13:$E25,"4")</f>
        <v>0</v>
      </c>
      <c r="F6" s="87" t="n">
        <f aca="false">SUMIFS($F13:$F25,$D13:$D25,"Management",$E13:$E25,"5")</f>
        <v>0</v>
      </c>
      <c r="G6" s="87" t="n">
        <f aca="false">SUMIFS($F13:$F25,$D13:$D25,"Management",$E13:$E25,"6")</f>
        <v>0</v>
      </c>
      <c r="H6" s="87" t="n">
        <f aca="false">SUMIFS($F13:$F25,$D13:$D25,"Management",$E13:$E25,"7")</f>
        <v>0</v>
      </c>
      <c r="I6" s="87" t="n">
        <f aca="false">SUMIFS($F13:$F25,$D13:$D25,"Management",$E13:$E25,"8")</f>
        <v>0</v>
      </c>
      <c r="J6" s="87" t="n">
        <f aca="false">SUMIFS($F13:$F25,$D13:$D25,"Management",$E13:$E25,"9")</f>
        <v>0</v>
      </c>
      <c r="K6" s="87" t="n">
        <f aca="false">SUMIFS($F13:$F25,$D13:$D25,"Management",$E13:$E25,"10")</f>
        <v>0</v>
      </c>
      <c r="L6" s="87" t="n">
        <f aca="false">SUM(B6:K6)</f>
        <v>3000</v>
      </c>
    </row>
    <row r="7" customFormat="false" ht="15" hidden="false" customHeight="false" outlineLevel="0" collapsed="false">
      <c r="A7" s="60" t="s">
        <v>52</v>
      </c>
      <c r="B7" s="87" t="n">
        <f aca="false">SUMIFS($F13:$F25,$D13:$D25,"Research stays",$E13:$E25,"1")</f>
        <v>0</v>
      </c>
      <c r="C7" s="87" t="n">
        <f aca="false">SUMIFS($F13:$F25,$D13:$D25,"Research stays",$E13:$E25,"2")</f>
        <v>2440</v>
      </c>
      <c r="D7" s="87" t="n">
        <f aca="false">SUMIFS($F13:$F25,$D13:$D25,"Research stays",$E13:$E25,"3")</f>
        <v>3660</v>
      </c>
      <c r="E7" s="87" t="n">
        <f aca="false">SUMIFS($F13:$F25,$D13:$D25,"Research stays",$E13:$E25,"4")</f>
        <v>3660</v>
      </c>
      <c r="F7" s="87" t="n">
        <f aca="false">SUMIFS($F13:$F25,$D13:$D25,"Research stays",$E13:$E25,"5")</f>
        <v>0</v>
      </c>
      <c r="G7" s="87" t="n">
        <f aca="false">SUMIFS($F13:$F25,$D13:$D25,"Research stays",$E13:$E25,"6")</f>
        <v>0</v>
      </c>
      <c r="H7" s="87" t="n">
        <f aca="false">SUMIFS($F13:$F25,$D13:$D25,"Research stays",$E13:$E25,"7")</f>
        <v>0</v>
      </c>
      <c r="I7" s="87" t="n">
        <f aca="false">SUMIFS($F13:$F25,$D13:$D25,"Research stays",$E13:$E25,"8")</f>
        <v>0</v>
      </c>
      <c r="J7" s="87" t="n">
        <f aca="false">SUMIFS($F13:$F25,$D13:$D25,"Research stays",$E13:$E25,"9")</f>
        <v>0</v>
      </c>
      <c r="K7" s="87" t="n">
        <f aca="false">SUMIFS($F13:$F25,$D13:$D25,"Research stays",$E13:$E25,"10")</f>
        <v>0</v>
      </c>
      <c r="L7" s="87" t="n">
        <f aca="false">SUM(B7:K7)</f>
        <v>9760</v>
      </c>
    </row>
    <row r="8" customFormat="false" ht="15.75" hidden="false" customHeight="false" outlineLevel="0" collapsed="false">
      <c r="A8" s="60" t="s">
        <v>53</v>
      </c>
      <c r="B8" s="88" t="n">
        <f aca="false">SUMIFS($F13:$F25,$D13:$D25,"Meetings &amp; events",$E13:$E25,"1")</f>
        <v>1000</v>
      </c>
      <c r="C8" s="88" t="n">
        <f aca="false">SUMIFS($F13:$F25,$D13:$D25,"Meetings &amp; events",$E13:$E25,"2")</f>
        <v>0</v>
      </c>
      <c r="D8" s="88" t="n">
        <f aca="false">SUMIFS($F13:$F25,$D13:$D25,"Meetings &amp; events",$E13:$E25,"3")</f>
        <v>0</v>
      </c>
      <c r="E8" s="88" t="n">
        <f aca="false">SUMIFS($F13:$F25,$D13:$D25,"Meetings &amp; events",$E13:$E25,"4")</f>
        <v>0</v>
      </c>
      <c r="F8" s="88" t="n">
        <f aca="false">SUMIFS($F13:$F25,$D13:$D25,"Meetings &amp; events",$E13:$E25,"5")</f>
        <v>0</v>
      </c>
      <c r="G8" s="88" t="n">
        <f aca="false">SUMIFS($F13:$F25,$D13:$D25,"Meetings &amp; events",$E13:$E25,"6")</f>
        <v>0</v>
      </c>
      <c r="H8" s="88" t="n">
        <f aca="false">SUMIFS($F13:$F25,$D13:$D25,"Meetings &amp; events",$E13:$E25,"7")</f>
        <v>0</v>
      </c>
      <c r="I8" s="88" t="n">
        <f aca="false">SUMIFS($F13:$F25,$D13:$D25,"Meetings &amp; events",$E13:$E25,"8")</f>
        <v>0</v>
      </c>
      <c r="J8" s="88" t="n">
        <f aca="false">SUMIFS($F13:$F25,$D13:$D25,"Meetings &amp; events",$E13:$E25,"9")</f>
        <v>0</v>
      </c>
      <c r="K8" s="88" t="n">
        <f aca="false">SUMIFS($F13:$F25,$D13:$D25,"Meetings &amp; events",$E13:$E25,"10")</f>
        <v>0</v>
      </c>
      <c r="L8" s="88" t="n">
        <f aca="false">SUM(B8:K8)</f>
        <v>1000</v>
      </c>
    </row>
    <row r="9" customFormat="false" ht="15" hidden="false" customHeight="false" outlineLevel="0" collapsed="false">
      <c r="A9" s="70" t="s">
        <v>14</v>
      </c>
      <c r="B9" s="89" t="n">
        <f aca="false">SUM(B5:B8)</f>
        <v>11800</v>
      </c>
      <c r="C9" s="89" t="n">
        <f aca="false">SUM(C5:C8)</f>
        <v>2440</v>
      </c>
      <c r="D9" s="89" t="n">
        <f aca="false">SUM(D5:D8)</f>
        <v>3660</v>
      </c>
      <c r="E9" s="89" t="n">
        <f aca="false">SUM(E5:E8)</f>
        <v>3660</v>
      </c>
      <c r="F9" s="89" t="n">
        <f aca="false">SUM(F5:F8)</f>
        <v>0</v>
      </c>
      <c r="G9" s="89" t="n">
        <f aca="false">SUM(G5:G8)</f>
        <v>0</v>
      </c>
      <c r="H9" s="89" t="n">
        <f aca="false">SUM(H5:H8)</f>
        <v>0</v>
      </c>
      <c r="I9" s="89" t="n">
        <f aca="false">SUM(I5:I8)</f>
        <v>0</v>
      </c>
      <c r="J9" s="89" t="n">
        <f aca="false">SUM(J5:J8)</f>
        <v>0</v>
      </c>
      <c r="K9" s="89" t="n">
        <f aca="false">SUM(K5:K8)</f>
        <v>0</v>
      </c>
      <c r="L9" s="89" t="n">
        <f aca="false">SUM(B9:K9)</f>
        <v>21560</v>
      </c>
    </row>
    <row r="10" customFormat="false" ht="15" hidden="false" customHeight="false" outlineLevel="0" collapsed="false">
      <c r="A10" s="74"/>
      <c r="B10" s="24"/>
      <c r="C10" s="24"/>
      <c r="D10" s="24"/>
      <c r="E10" s="24"/>
      <c r="F10" s="101"/>
    </row>
    <row r="12" customFormat="false" ht="15" hidden="false" customHeight="false" outlineLevel="0" collapsed="false">
      <c r="A12" s="84" t="s">
        <v>74</v>
      </c>
      <c r="B12" s="84" t="s">
        <v>75</v>
      </c>
      <c r="C12" s="84"/>
      <c r="D12" s="84" t="s">
        <v>76</v>
      </c>
      <c r="E12" s="84" t="s">
        <v>77</v>
      </c>
      <c r="F12" s="84" t="s">
        <v>78</v>
      </c>
      <c r="H12" s="147"/>
    </row>
    <row r="13" customFormat="false" ht="15" hidden="false" customHeight="true" outlineLevel="0" collapsed="false">
      <c r="A13" s="90" t="s">
        <v>117</v>
      </c>
      <c r="B13" s="91" t="s">
        <v>118</v>
      </c>
      <c r="C13" s="91"/>
      <c r="D13" s="92" t="s">
        <v>81</v>
      </c>
      <c r="E13" s="93" t="n">
        <v>1</v>
      </c>
      <c r="F13" s="94" t="n">
        <v>7800</v>
      </c>
    </row>
    <row r="14" customFormat="false" ht="15" hidden="false" customHeight="true" outlineLevel="0" collapsed="false">
      <c r="A14" s="91"/>
      <c r="B14" s="91"/>
      <c r="C14" s="91"/>
      <c r="D14" s="92"/>
      <c r="E14" s="93"/>
      <c r="F14" s="94"/>
    </row>
    <row r="15" customFormat="false" ht="15" hidden="false" customHeight="true" outlineLevel="0" collapsed="false">
      <c r="A15" s="0" t="s">
        <v>119</v>
      </c>
      <c r="B15" s="148" t="s">
        <v>120</v>
      </c>
      <c r="C15" s="149"/>
      <c r="D15" s="110" t="s">
        <v>93</v>
      </c>
      <c r="E15" s="111" t="n">
        <v>2</v>
      </c>
      <c r="F15" s="112" t="n">
        <v>2440</v>
      </c>
      <c r="G15" s="117"/>
    </row>
    <row r="16" customFormat="false" ht="15" hidden="false" customHeight="true" outlineLevel="0" collapsed="false">
      <c r="A16" s="150" t="s">
        <v>121</v>
      </c>
      <c r="B16" s="151" t="s">
        <v>122</v>
      </c>
      <c r="C16" s="151"/>
      <c r="D16" s="110" t="s">
        <v>93</v>
      </c>
      <c r="E16" s="111" t="n">
        <v>3</v>
      </c>
      <c r="F16" s="112" t="n">
        <v>3660</v>
      </c>
    </row>
    <row r="17" customFormat="false" ht="15" hidden="false" customHeight="true" outlineLevel="0" collapsed="false">
      <c r="A17" s="115" t="s">
        <v>123</v>
      </c>
      <c r="B17" s="151" t="s">
        <v>122</v>
      </c>
      <c r="C17" s="151"/>
      <c r="D17" s="110" t="s">
        <v>93</v>
      </c>
      <c r="E17" s="111" t="n">
        <v>4</v>
      </c>
      <c r="F17" s="112" t="n">
        <v>3660</v>
      </c>
      <c r="G17" s="117"/>
    </row>
    <row r="18" customFormat="false" ht="15" hidden="false" customHeight="true" outlineLevel="0" collapsed="false">
      <c r="A18" s="115"/>
      <c r="B18" s="115"/>
      <c r="C18" s="115"/>
      <c r="D18" s="110"/>
      <c r="E18" s="111"/>
      <c r="F18" s="112"/>
    </row>
    <row r="19" customFormat="false" ht="15" hidden="false" customHeight="true" outlineLevel="0" collapsed="false">
      <c r="A19" s="152" t="s">
        <v>82</v>
      </c>
      <c r="B19" s="98" t="s">
        <v>124</v>
      </c>
      <c r="C19" s="98"/>
      <c r="D19" s="110" t="s">
        <v>84</v>
      </c>
      <c r="E19" s="111" t="n">
        <v>1</v>
      </c>
      <c r="F19" s="112" t="n">
        <v>3000</v>
      </c>
      <c r="G19" s="0" t="s">
        <v>85</v>
      </c>
    </row>
    <row r="20" customFormat="false" ht="15" hidden="false" customHeight="false" outlineLevel="0" collapsed="false">
      <c r="A20" s="95"/>
      <c r="B20" s="91"/>
      <c r="C20" s="91"/>
      <c r="D20" s="153"/>
      <c r="E20" s="93"/>
      <c r="F20" s="94"/>
    </row>
    <row r="21" customFormat="false" ht="15" hidden="false" customHeight="false" outlineLevel="0" collapsed="false">
      <c r="A21" s="108" t="s">
        <v>94</v>
      </c>
      <c r="B21" s="154"/>
      <c r="C21" s="154"/>
      <c r="D21" s="110" t="s">
        <v>95</v>
      </c>
      <c r="E21" s="111" t="n">
        <v>1</v>
      </c>
      <c r="F21" s="112" t="n">
        <v>1000</v>
      </c>
    </row>
    <row r="22" customFormat="false" ht="15" hidden="false" customHeight="false" outlineLevel="0" collapsed="false">
      <c r="A22" s="155"/>
      <c r="B22" s="91"/>
      <c r="C22" s="91"/>
      <c r="D22" s="156"/>
      <c r="E22" s="157"/>
      <c r="F22" s="158"/>
    </row>
    <row r="23" customFormat="false" ht="15" hidden="false" customHeight="false" outlineLevel="0" collapsed="false">
      <c r="A23" s="123"/>
      <c r="B23" s="123"/>
      <c r="C23" s="123"/>
      <c r="D23" s="159"/>
      <c r="E23" s="160"/>
      <c r="F23" s="161"/>
      <c r="G23" s="162"/>
    </row>
    <row r="24" customFormat="false" ht="15" hidden="false" customHeight="false" outlineLevel="0" collapsed="false">
      <c r="A24" s="123"/>
      <c r="B24" s="123"/>
      <c r="C24" s="123"/>
      <c r="D24" s="159"/>
      <c r="E24" s="160"/>
      <c r="F24" s="161"/>
      <c r="G24" s="162"/>
      <c r="H24" s="117"/>
    </row>
    <row r="25" customFormat="false" ht="15" hidden="false" customHeight="false" outlineLevel="0" collapsed="false">
      <c r="A25" s="163"/>
      <c r="B25" s="163"/>
      <c r="C25" s="163"/>
      <c r="D25" s="164"/>
      <c r="E25" s="164"/>
      <c r="F25" s="116"/>
      <c r="G25" s="117"/>
      <c r="H25" s="117"/>
    </row>
    <row r="26" customFormat="false" ht="15" hidden="false" customHeight="false" outlineLevel="0" collapsed="false">
      <c r="A26" s="127" t="s">
        <v>97</v>
      </c>
      <c r="B26" s="127"/>
      <c r="C26" s="127"/>
    </row>
    <row r="27" customFormat="false" ht="15" hidden="false" customHeight="false" outlineLevel="0" collapsed="false">
      <c r="A27" s="127" t="s">
        <v>98</v>
      </c>
      <c r="B27" s="128" t="s">
        <v>99</v>
      </c>
      <c r="C27" s="129" t="s">
        <v>100</v>
      </c>
    </row>
    <row r="30" customFormat="false" ht="21" hidden="false" customHeight="false" outlineLevel="0" collapsed="false">
      <c r="A30" s="1" t="s">
        <v>125</v>
      </c>
    </row>
    <row r="31" customFormat="false" ht="15" hidden="false" customHeight="false" outlineLevel="0" collapsed="false">
      <c r="A31" s="130"/>
      <c r="B31" s="130" t="s">
        <v>59</v>
      </c>
      <c r="C31" s="130" t="s">
        <v>60</v>
      </c>
      <c r="D31" s="130" t="s">
        <v>61</v>
      </c>
      <c r="E31" s="130" t="s">
        <v>62</v>
      </c>
      <c r="F31" s="130" t="s">
        <v>63</v>
      </c>
      <c r="G31" s="130" t="s">
        <v>64</v>
      </c>
      <c r="H31" s="130" t="s">
        <v>65</v>
      </c>
      <c r="I31" s="130" t="s">
        <v>66</v>
      </c>
      <c r="J31" s="130" t="s">
        <v>67</v>
      </c>
      <c r="K31" s="130" t="s">
        <v>68</v>
      </c>
      <c r="L31" s="130" t="s">
        <v>14</v>
      </c>
    </row>
    <row r="32" customFormat="false" ht="30" hidden="false" customHeight="false" outlineLevel="0" collapsed="false">
      <c r="A32" s="131"/>
      <c r="B32" s="165" t="s">
        <v>113</v>
      </c>
      <c r="C32" s="165" t="s">
        <v>114</v>
      </c>
      <c r="D32" s="165" t="s">
        <v>126</v>
      </c>
      <c r="E32" s="165" t="s">
        <v>116</v>
      </c>
      <c r="F32" s="165" t="s">
        <v>73</v>
      </c>
      <c r="G32" s="165" t="s">
        <v>73</v>
      </c>
      <c r="H32" s="165" t="s">
        <v>73</v>
      </c>
      <c r="I32" s="165" t="s">
        <v>73</v>
      </c>
      <c r="J32" s="165" t="s">
        <v>73</v>
      </c>
      <c r="K32" s="165" t="s">
        <v>73</v>
      </c>
      <c r="L32" s="131"/>
    </row>
    <row r="33" customFormat="false" ht="15" hidden="false" customHeight="false" outlineLevel="0" collapsed="false">
      <c r="A33" s="78" t="s">
        <v>81</v>
      </c>
      <c r="B33" s="87" t="n">
        <f aca="false">SUMIFS($F41:$F63,$D41:$D63,"Staff costs",$E41:$E63,"1")</f>
        <v>0</v>
      </c>
      <c r="C33" s="87" t="n">
        <f aca="false">SUMIFS($F41:$F63,$D41:$D63,"Staff costs",$E41:$E63,"2")</f>
        <v>0</v>
      </c>
      <c r="D33" s="87" t="n">
        <f aca="false">SUMIFS($F41:$F63,$D41:$D63,"Staff costs",$E41:$E63,"3")</f>
        <v>0</v>
      </c>
      <c r="E33" s="87" t="n">
        <f aca="false">SUMIFS($F41:$F63,$D41:$D63,"Staff costs",$E41:$E63,"4")</f>
        <v>0</v>
      </c>
      <c r="F33" s="87" t="n">
        <f aca="false">SUMIFS($F41:$F63,$D41:$D63,"Staff costs",$E41:$E63,"5")</f>
        <v>0</v>
      </c>
      <c r="G33" s="87" t="n">
        <f aca="false">SUMIFS($F41:$F63,$D41:$D63,"Staff costs",$E41:$E63,"6")</f>
        <v>0</v>
      </c>
      <c r="H33" s="87" t="n">
        <f aca="false">SUMIFS($F41:$F63,$D41:$D63,"Staff costs",$E41:$E63,"7")</f>
        <v>0</v>
      </c>
      <c r="I33" s="87" t="n">
        <f aca="false">SUMIFS($F41:$F63,$D41:$D63,"Staff costs",$E41:$E63,"8")</f>
        <v>0</v>
      </c>
      <c r="J33" s="87" t="n">
        <f aca="false">SUMIFS($F41:$F63,$D41:$D63,"Staff costs",$E41:$E63,"9")</f>
        <v>0</v>
      </c>
      <c r="K33" s="87" t="n">
        <f aca="false">SUMIFS($F41:$F63,$D41:$D63,"Staff costs",$E41:$E63,"10")</f>
        <v>0</v>
      </c>
      <c r="L33" s="87" t="n">
        <f aca="false">SUM(B33:K33)</f>
        <v>0</v>
      </c>
    </row>
    <row r="34" customFormat="false" ht="15" hidden="false" customHeight="false" outlineLevel="0" collapsed="false">
      <c r="A34" s="78" t="s">
        <v>50</v>
      </c>
      <c r="B34" s="87" t="n">
        <f aca="false">SUMIFS($F41:$F63,$D41:$D63,"Management",$E41:$E63,"1")</f>
        <v>0</v>
      </c>
      <c r="C34" s="87" t="n">
        <f aca="false">SUMIFS($F41:$F63,$D41:$D63,"Management",$E41:$E63,"2")</f>
        <v>0</v>
      </c>
      <c r="D34" s="87" t="n">
        <f aca="false">SUMIFS($F41:$F63,$D41:$D63,"Management",$E41:$E63,"3")</f>
        <v>0</v>
      </c>
      <c r="E34" s="87" t="n">
        <f aca="false">SUMIFS($F41:$F63,$D41:$D63,"Management",$E41:$E63,"4")</f>
        <v>0</v>
      </c>
      <c r="F34" s="87" t="n">
        <f aca="false">SUMIFS($F41:$F63,$D41:$D63,"Management",$E41:$E63,"5")</f>
        <v>0</v>
      </c>
      <c r="G34" s="87" t="n">
        <f aca="false">SUMIFS($F41:$F63,$D41:$D63,"Management",$E41:$E63,"6")</f>
        <v>0</v>
      </c>
      <c r="H34" s="87" t="n">
        <f aca="false">SUMIFS($F41:$F63,$D41:$D63,"Management",$E41:$E63,"7")</f>
        <v>0</v>
      </c>
      <c r="I34" s="87" t="n">
        <f aca="false">SUMIFS($F41:$F63,$D41:$D63,"Management",$E41:$E63,"8")</f>
        <v>0</v>
      </c>
      <c r="J34" s="87" t="n">
        <f aca="false">SUMIFS($F41:$F63,$D41:$D63,"Management",$E41:$E63,"9")</f>
        <v>0</v>
      </c>
      <c r="K34" s="87" t="n">
        <f aca="false">SUMIFS($F41:$F63,$D41:$D63,"Management",$E41:$E63,"10")</f>
        <v>0</v>
      </c>
      <c r="L34" s="87" t="n">
        <f aca="false">SUM(B34:K34)</f>
        <v>0</v>
      </c>
    </row>
    <row r="35" customFormat="false" ht="15" hidden="false" customHeight="false" outlineLevel="0" collapsed="false">
      <c r="A35" s="78" t="s">
        <v>52</v>
      </c>
      <c r="B35" s="87" t="n">
        <f aca="false">SUMIFS($F41:$F63,$D41:$D63,"Research stays",$E41:$E63,"1")</f>
        <v>0</v>
      </c>
      <c r="C35" s="87" t="n">
        <f aca="false">SUMIFS($F41:$F63,$D41:$D63,"Research stays",$E41:$E63,"2")</f>
        <v>0</v>
      </c>
      <c r="D35" s="87" t="n">
        <f aca="false">SUMIFS($F41:$F63,$D41:$D63,"Research stays",$E41:$E63,"3")</f>
        <v>0</v>
      </c>
      <c r="E35" s="87" t="n">
        <f aca="false">SUMIFS($F41:$F63,$D41:$D63,"Research stays",$E41:$E63,"4")</f>
        <v>0</v>
      </c>
      <c r="F35" s="87" t="n">
        <f aca="false">SUMIFS($F41:$F63,$D41:$D63,"Research stays",$E41:$E63,"5")</f>
        <v>0</v>
      </c>
      <c r="G35" s="87" t="n">
        <f aca="false">SUMIFS($F41:$F63,$D41:$D63,"Research stays",$E41:$E63,"6")</f>
        <v>0</v>
      </c>
      <c r="H35" s="87" t="n">
        <f aca="false">SUMIFS($F41:$F63,$D41:$D63,"Research stays",$E41:$E63,"7")</f>
        <v>0</v>
      </c>
      <c r="I35" s="87" t="n">
        <f aca="false">SUMIFS($F41:$F63,$D41:$D63,"Research stays",$E41:$E63,"8")</f>
        <v>0</v>
      </c>
      <c r="J35" s="87" t="n">
        <f aca="false">SUMIFS($F41:$F63,$D41:$D63,"Research stays",$E41:$E63,"9")</f>
        <v>0</v>
      </c>
      <c r="K35" s="87" t="n">
        <f aca="false">SUMIFS($F41:$F63,$D41:$D63,"Research stays",$E41:$E63,"10")</f>
        <v>0</v>
      </c>
      <c r="L35" s="87" t="n">
        <f aca="false">SUM(B35:K35)</f>
        <v>0</v>
      </c>
    </row>
    <row r="36" customFormat="false" ht="15.75" hidden="false" customHeight="false" outlineLevel="0" collapsed="false">
      <c r="A36" s="78" t="s">
        <v>53</v>
      </c>
      <c r="B36" s="88" t="n">
        <f aca="false">SUMIFS($F41:$F63,$D41:$D63,"Meetings &amp; events",$E41:$E63,"1")</f>
        <v>0</v>
      </c>
      <c r="C36" s="88" t="n">
        <f aca="false">SUMIFS($F41:$F63,$D41:$D63,"Meetings &amp; events",$E41:$E63,"2")</f>
        <v>0</v>
      </c>
      <c r="D36" s="88" t="n">
        <f aca="false">SUMIFS($F41:$F63,$D41:$D63,"Meetings &amp; events",$E41:$E63,"3")</f>
        <v>0</v>
      </c>
      <c r="E36" s="88" t="n">
        <f aca="false">SUMIFS($F41:$F63,$D41:$D63,"Meetings &amp; events",$E41:$E63,"4")</f>
        <v>0</v>
      </c>
      <c r="F36" s="88" t="n">
        <f aca="false">SUMIFS($F41:$F63,$D41:$D63,"Meetings &amp; events",$E41:$E63,"5")</f>
        <v>0</v>
      </c>
      <c r="G36" s="88" t="n">
        <f aca="false">SUMIFS($F41:$F63,$D41:$D63,"Meetings &amp; events",$E41:$E63,"6")</f>
        <v>0</v>
      </c>
      <c r="H36" s="88" t="n">
        <f aca="false">SUMIFS($F41:$F63,$D41:$D63,"Meetings &amp; events",$E41:$E63,"7")</f>
        <v>0</v>
      </c>
      <c r="I36" s="88" t="n">
        <f aca="false">SUMIFS($F41:$F63,$D41:$D63,"Meetings &amp; events",$E41:$E63,"8")</f>
        <v>0</v>
      </c>
      <c r="J36" s="88" t="n">
        <f aca="false">SUMIFS($F41:$F63,$D41:$D63,"Meetings &amp; events",$E41:$E63,"9")</f>
        <v>0</v>
      </c>
      <c r="K36" s="88" t="n">
        <f aca="false">SUMIFS($F41:$F63,$D41:$D63,"Meetings &amp; events",$E41:$E63,"10")</f>
        <v>0</v>
      </c>
      <c r="L36" s="88" t="n">
        <f aca="false">SUM(B36:K36)</f>
        <v>0</v>
      </c>
    </row>
    <row r="37" customFormat="false" ht="15" hidden="false" customHeight="false" outlineLevel="0" collapsed="false">
      <c r="A37" s="81" t="s">
        <v>14</v>
      </c>
      <c r="B37" s="89" t="n">
        <f aca="false">SUM(B33:B36)</f>
        <v>0</v>
      </c>
      <c r="C37" s="89" t="n">
        <f aca="false">SUM(C33:C36)</f>
        <v>0</v>
      </c>
      <c r="D37" s="89" t="n">
        <f aca="false">SUM(D33:D36)</f>
        <v>0</v>
      </c>
      <c r="E37" s="89" t="n">
        <f aca="false">SUM(E33:E36)</f>
        <v>0</v>
      </c>
      <c r="F37" s="89" t="n">
        <f aca="false">SUM(F33:F36)</f>
        <v>0</v>
      </c>
      <c r="G37" s="89" t="n">
        <f aca="false">SUM(G33:G36)</f>
        <v>0</v>
      </c>
      <c r="H37" s="89" t="n">
        <f aca="false">SUM(H33:H36)</f>
        <v>0</v>
      </c>
      <c r="I37" s="89" t="n">
        <f aca="false">SUM(I33:I36)</f>
        <v>0</v>
      </c>
      <c r="J37" s="89" t="n">
        <f aca="false">SUM(J33:J36)</f>
        <v>0</v>
      </c>
      <c r="K37" s="89" t="n">
        <f aca="false">SUM(K33:K36)</f>
        <v>0</v>
      </c>
      <c r="L37" s="89" t="n">
        <f aca="false">SUM(B37:K37)</f>
        <v>0</v>
      </c>
    </row>
    <row r="38" customFormat="false" ht="15" hidden="false" customHeight="false" outlineLevel="0" collapsed="false">
      <c r="A38" s="74"/>
      <c r="B38" s="24"/>
      <c r="C38" s="24"/>
      <c r="D38" s="24"/>
      <c r="E38" s="24"/>
      <c r="F38" s="101"/>
    </row>
    <row r="40" customFormat="false" ht="15" hidden="false" customHeight="false" outlineLevel="0" collapsed="false">
      <c r="A40" s="76" t="s">
        <v>105</v>
      </c>
      <c r="B40" s="76" t="s">
        <v>75</v>
      </c>
      <c r="C40" s="76"/>
      <c r="D40" s="76" t="s">
        <v>76</v>
      </c>
      <c r="E40" s="76" t="s">
        <v>77</v>
      </c>
      <c r="F40" s="76" t="s">
        <v>4</v>
      </c>
      <c r="G40" s="133" t="s">
        <v>106</v>
      </c>
      <c r="H40" s="133" t="s">
        <v>127</v>
      </c>
      <c r="I40" s="133" t="s">
        <v>108</v>
      </c>
      <c r="J40" s="133" t="s">
        <v>109</v>
      </c>
      <c r="K40" s="133" t="s">
        <v>110</v>
      </c>
      <c r="L40" s="133" t="s">
        <v>111</v>
      </c>
    </row>
    <row r="41" customFormat="false" ht="25.45" hidden="false" customHeight="true" outlineLevel="0" collapsed="false">
      <c r="A41" s="95"/>
      <c r="B41" s="115"/>
      <c r="C41" s="115"/>
      <c r="D41" s="153"/>
      <c r="E41" s="93"/>
      <c r="F41" s="94"/>
      <c r="G41" s="135"/>
      <c r="H41" s="135"/>
      <c r="I41" s="135"/>
      <c r="J41" s="135"/>
      <c r="K41" s="135"/>
      <c r="L41" s="136"/>
    </row>
    <row r="42" customFormat="false" ht="15" hidden="false" customHeight="true" outlineLevel="0" collapsed="false">
      <c r="A42" s="95"/>
      <c r="B42" s="115"/>
      <c r="C42" s="115"/>
      <c r="D42" s="153"/>
      <c r="E42" s="93"/>
      <c r="F42" s="94"/>
      <c r="G42" s="135"/>
      <c r="H42" s="135"/>
      <c r="I42" s="135"/>
      <c r="J42" s="135"/>
      <c r="K42" s="135"/>
      <c r="L42" s="136"/>
    </row>
    <row r="43" customFormat="false" ht="22.45" hidden="false" customHeight="true" outlineLevel="0" collapsed="false">
      <c r="A43" s="95"/>
      <c r="B43" s="91"/>
      <c r="C43" s="91"/>
      <c r="D43" s="153"/>
      <c r="E43" s="93"/>
      <c r="F43" s="94"/>
      <c r="G43" s="135"/>
      <c r="H43" s="135"/>
      <c r="I43" s="135"/>
      <c r="J43" s="135"/>
      <c r="K43" s="135"/>
      <c r="L43" s="166"/>
    </row>
    <row r="44" customFormat="false" ht="13.8" hidden="false" customHeight="false" outlineLevel="0" collapsed="false">
      <c r="A44" s="95"/>
      <c r="B44" s="96"/>
      <c r="C44" s="97"/>
      <c r="D44" s="92"/>
      <c r="E44" s="93"/>
      <c r="F44" s="94"/>
      <c r="G44" s="135"/>
      <c r="H44" s="135"/>
      <c r="I44" s="138"/>
      <c r="J44" s="135"/>
      <c r="K44" s="135"/>
      <c r="L44" s="136"/>
    </row>
    <row r="45" customFormat="false" ht="13.8" hidden="false" customHeight="false" outlineLevel="0" collapsed="false">
      <c r="A45" s="95"/>
      <c r="B45" s="91"/>
      <c r="C45" s="91"/>
      <c r="D45" s="153"/>
      <c r="E45" s="93"/>
      <c r="F45" s="94"/>
      <c r="G45" s="135"/>
      <c r="H45" s="135"/>
      <c r="I45" s="135"/>
      <c r="J45" s="135"/>
      <c r="K45" s="135"/>
      <c r="L45" s="167"/>
    </row>
    <row r="46" customFormat="false" ht="15" hidden="false" customHeight="false" outlineLevel="0" collapsed="false">
      <c r="A46" s="95"/>
      <c r="B46" s="91"/>
      <c r="C46" s="91"/>
      <c r="D46" s="153"/>
      <c r="E46" s="93"/>
      <c r="F46" s="94"/>
      <c r="G46" s="135"/>
      <c r="H46" s="135"/>
      <c r="I46" s="135"/>
      <c r="J46" s="135"/>
      <c r="K46" s="135"/>
      <c r="L46" s="168"/>
    </row>
    <row r="47" customFormat="false" ht="15" hidden="false" customHeight="false" outlineLevel="0" collapsed="false">
      <c r="A47" s="95"/>
      <c r="B47" s="91"/>
      <c r="C47" s="91"/>
      <c r="D47" s="153"/>
      <c r="E47" s="93"/>
      <c r="F47" s="94"/>
      <c r="G47" s="135"/>
      <c r="H47" s="169"/>
      <c r="I47" s="135"/>
      <c r="J47" s="135"/>
      <c r="K47" s="135"/>
      <c r="L47" s="166"/>
    </row>
    <row r="48" customFormat="false" ht="15" hidden="false" customHeight="false" outlineLevel="0" collapsed="false">
      <c r="A48" s="95"/>
      <c r="B48" s="91"/>
      <c r="C48" s="91"/>
      <c r="D48" s="153"/>
      <c r="E48" s="93"/>
      <c r="F48" s="94"/>
      <c r="G48" s="135"/>
      <c r="H48" s="135"/>
      <c r="I48" s="135"/>
      <c r="J48" s="135"/>
      <c r="K48" s="135"/>
      <c r="L48" s="167"/>
    </row>
    <row r="49" customFormat="false" ht="15" hidden="false" customHeight="false" outlineLevel="0" collapsed="false">
      <c r="A49" s="95"/>
      <c r="B49" s="91"/>
      <c r="C49" s="91"/>
      <c r="D49" s="110"/>
      <c r="E49" s="93"/>
      <c r="F49" s="94"/>
      <c r="G49" s="135"/>
      <c r="H49" s="135"/>
      <c r="I49" s="135"/>
      <c r="J49" s="135"/>
      <c r="K49" s="135"/>
    </row>
    <row r="50" customFormat="false" ht="15" hidden="false" customHeight="false" outlineLevel="0" collapsed="false">
      <c r="A50" s="170"/>
      <c r="B50" s="91"/>
      <c r="C50" s="91"/>
      <c r="D50" s="153"/>
      <c r="E50" s="93"/>
      <c r="F50" s="94"/>
      <c r="G50" s="142"/>
    </row>
    <row r="51" customFormat="false" ht="15" hidden="false" customHeight="false" outlineLevel="0" collapsed="false">
      <c r="A51" s="95"/>
      <c r="B51" s="91"/>
      <c r="C51" s="91"/>
      <c r="D51" s="153"/>
      <c r="E51" s="93"/>
      <c r="F51" s="94"/>
      <c r="G51" s="135"/>
    </row>
    <row r="52" customFormat="false" ht="15" hidden="false" customHeight="false" outlineLevel="0" collapsed="false">
      <c r="A52" s="95"/>
      <c r="B52" s="91"/>
      <c r="C52" s="91"/>
      <c r="D52" s="153"/>
      <c r="E52" s="93"/>
      <c r="F52" s="94"/>
    </row>
    <row r="53" customFormat="false" ht="15" hidden="false" customHeight="false" outlineLevel="0" collapsed="false">
      <c r="A53" s="95"/>
      <c r="B53" s="91"/>
      <c r="C53" s="91"/>
      <c r="D53" s="153"/>
      <c r="E53" s="93"/>
      <c r="F53" s="94"/>
    </row>
    <row r="54" customFormat="false" ht="15" hidden="false" customHeight="false" outlineLevel="0" collapsed="false">
      <c r="A54" s="95"/>
      <c r="B54" s="91"/>
      <c r="C54" s="91"/>
      <c r="D54" s="153"/>
      <c r="E54" s="93"/>
      <c r="F54" s="94"/>
    </row>
    <row r="55" customFormat="false" ht="15" hidden="false" customHeight="false" outlineLevel="0" collapsed="false">
      <c r="A55" s="95"/>
      <c r="B55" s="91"/>
      <c r="C55" s="91"/>
      <c r="D55" s="153"/>
      <c r="E55" s="93"/>
      <c r="F55" s="94"/>
    </row>
    <row r="56" customFormat="false" ht="15" hidden="false" customHeight="false" outlineLevel="0" collapsed="false">
      <c r="A56" s="95"/>
      <c r="B56" s="91"/>
      <c r="C56" s="91"/>
      <c r="D56" s="153"/>
      <c r="E56" s="93"/>
      <c r="F56" s="94"/>
    </row>
    <row r="57" customFormat="false" ht="15" hidden="false" customHeight="false" outlineLevel="0" collapsed="false">
      <c r="A57" s="95"/>
      <c r="B57" s="91"/>
      <c r="C57" s="91"/>
      <c r="D57" s="153"/>
      <c r="E57" s="93"/>
      <c r="F57" s="94"/>
    </row>
    <row r="58" customFormat="false" ht="15" hidden="false" customHeight="false" outlineLevel="0" collapsed="false">
      <c r="A58" s="95"/>
      <c r="B58" s="91"/>
      <c r="C58" s="91"/>
      <c r="D58" s="153"/>
      <c r="E58" s="93"/>
      <c r="F58" s="94"/>
    </row>
    <row r="59" customFormat="false" ht="15" hidden="false" customHeight="false" outlineLevel="0" collapsed="false">
      <c r="A59" s="95"/>
      <c r="B59" s="91"/>
      <c r="C59" s="91"/>
      <c r="D59" s="153"/>
      <c r="E59" s="93"/>
      <c r="F59" s="94"/>
    </row>
    <row r="60" customFormat="false" ht="15" hidden="false" customHeight="false" outlineLevel="0" collapsed="false">
      <c r="A60" s="95"/>
      <c r="B60" s="91"/>
      <c r="C60" s="91"/>
      <c r="D60" s="153"/>
      <c r="E60" s="93"/>
      <c r="F60" s="94"/>
    </row>
    <row r="61" customFormat="false" ht="15" hidden="false" customHeight="false" outlineLevel="0" collapsed="false">
      <c r="A61" s="95"/>
      <c r="B61" s="91"/>
      <c r="C61" s="91"/>
      <c r="D61" s="153"/>
      <c r="E61" s="93"/>
      <c r="F61" s="94"/>
    </row>
    <row r="62" customFormat="false" ht="15" hidden="false" customHeight="false" outlineLevel="0" collapsed="false">
      <c r="A62" s="95"/>
      <c r="B62" s="91"/>
      <c r="C62" s="91"/>
      <c r="D62" s="153"/>
      <c r="E62" s="93"/>
      <c r="F62" s="94"/>
    </row>
    <row r="63" customFormat="false" ht="15" hidden="false" customHeight="false" outlineLevel="0" collapsed="false">
      <c r="A63" s="95"/>
      <c r="B63" s="91"/>
      <c r="C63" s="91"/>
      <c r="D63" s="153"/>
      <c r="E63" s="93"/>
      <c r="F63" s="94"/>
    </row>
  </sheetData>
  <mergeCells count="36">
    <mergeCell ref="B12:C12"/>
    <mergeCell ref="B13:C13"/>
    <mergeCell ref="B14:C14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40:C40"/>
    <mergeCell ref="B41:C41"/>
    <mergeCell ref="B42:C42"/>
    <mergeCell ref="B43:C43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</mergeCells>
  <dataValidations count="5">
    <dataValidation allowBlank="true" operator="equal" showDropDown="false" showErrorMessage="true" showInputMessage="true" sqref="D13:D25 D41:D43 D45:D63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13:E25 E41 E43 E45:E63" type="list">
      <formula1>"1,2,3,4,5,6,7,8,9,10"</formula1>
      <formula2>0</formula2>
    </dataValidation>
    <dataValidation allowBlank="true" operator="equal" showDropDown="false" showErrorMessage="true" showInputMessage="true" sqref="E42" type="list">
      <formula1>"1,2,3,4,5,6,7,8,9,10,11,12,13,14"</formula1>
      <formula2>0</formula2>
    </dataValidation>
    <dataValidation allowBlank="true" operator="equal" showDropDown="false" showErrorMessage="true" showInputMessage="true" sqref="D44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44" type="list">
      <formula1>"1,2,3,4,5,6,7,8,9,10"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655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5" zeroHeight="false" outlineLevelRow="0" outlineLevelCol="0"/>
  <cols>
    <col collapsed="false" customWidth="true" hidden="false" outlineLevel="0" max="1" min="1" style="0" width="32.42"/>
    <col collapsed="false" customWidth="true" hidden="false" outlineLevel="0" max="4" min="2" style="0" width="18.71"/>
    <col collapsed="false" customWidth="true" hidden="false" outlineLevel="0" max="5" min="5" style="0" width="17.86"/>
    <col collapsed="false" customWidth="true" hidden="false" outlineLevel="0" max="6" min="6" style="0" width="17.29"/>
    <col collapsed="false" customWidth="true" hidden="false" outlineLevel="0" max="7" min="7" style="0" width="15.71"/>
    <col collapsed="false" customWidth="true" hidden="false" outlineLevel="0" max="8" min="8" style="0" width="16.57"/>
    <col collapsed="false" customWidth="true" hidden="false" outlineLevel="0" max="9" min="9" style="0" width="16"/>
    <col collapsed="false" customWidth="true" hidden="false" outlineLevel="0" max="10" min="10" style="0" width="15.57"/>
    <col collapsed="false" customWidth="true" hidden="false" outlineLevel="0" max="11" min="11" style="0" width="16.14"/>
    <col collapsed="false" customWidth="true" hidden="false" outlineLevel="0" max="1025" min="12" style="0" width="10.65"/>
  </cols>
  <sheetData>
    <row r="1" customFormat="false" ht="15" hidden="false" customHeight="false" outlineLevel="0" collapsed="false">
      <c r="G1" s="83"/>
    </row>
    <row r="2" customFormat="false" ht="21" hidden="false" customHeight="false" outlineLevel="0" collapsed="false">
      <c r="A2" s="1" t="s">
        <v>128</v>
      </c>
    </row>
    <row r="3" customFormat="false" ht="15" hidden="false" customHeight="false" outlineLevel="0" collapsed="false">
      <c r="A3" s="84"/>
      <c r="B3" s="84" t="s">
        <v>59</v>
      </c>
      <c r="C3" s="84" t="s">
        <v>60</v>
      </c>
      <c r="D3" s="84" t="s">
        <v>61</v>
      </c>
      <c r="E3" s="84" t="s">
        <v>62</v>
      </c>
      <c r="F3" s="84" t="s">
        <v>63</v>
      </c>
      <c r="G3" s="84" t="s">
        <v>64</v>
      </c>
      <c r="H3" s="84" t="s">
        <v>65</v>
      </c>
      <c r="I3" s="84" t="s">
        <v>66</v>
      </c>
      <c r="J3" s="84" t="s">
        <v>67</v>
      </c>
      <c r="K3" s="84" t="s">
        <v>68</v>
      </c>
      <c r="L3" s="84" t="s">
        <v>14</v>
      </c>
    </row>
    <row r="4" customFormat="false" ht="22.35" hidden="false" customHeight="false" outlineLevel="0" collapsed="false">
      <c r="A4" s="85"/>
      <c r="B4" s="171" t="s">
        <v>129</v>
      </c>
      <c r="C4" s="172" t="s">
        <v>130</v>
      </c>
      <c r="D4" s="172" t="s">
        <v>131</v>
      </c>
      <c r="E4" s="171" t="s">
        <v>132</v>
      </c>
      <c r="F4" s="171" t="s">
        <v>126</v>
      </c>
      <c r="G4" s="172" t="s">
        <v>133</v>
      </c>
      <c r="H4" s="172" t="s">
        <v>134</v>
      </c>
      <c r="I4" s="172" t="s">
        <v>135</v>
      </c>
      <c r="J4" s="172" t="s">
        <v>73</v>
      </c>
      <c r="K4" s="171" t="s">
        <v>73</v>
      </c>
      <c r="L4" s="85"/>
    </row>
    <row r="5" customFormat="false" ht="15" hidden="false" customHeight="false" outlineLevel="0" collapsed="false">
      <c r="A5" s="60" t="s">
        <v>48</v>
      </c>
      <c r="B5" s="87" t="n">
        <f aca="false">SUMIFS($F13:$F30,$D13:$D30,"Staff costs",$E13:$E30,"1")</f>
        <v>7800</v>
      </c>
      <c r="C5" s="87" t="n">
        <f aca="false">SUMIFS($F13:$F30,$D13:$D30,"Staff costs",$E13:$E30,"2")</f>
        <v>0</v>
      </c>
      <c r="D5" s="87" t="n">
        <f aca="false">SUMIFS($F13:$F30,$D13:$D30,"Staff costs",$E13:$E30,"3")</f>
        <v>0</v>
      </c>
      <c r="E5" s="87" t="n">
        <f aca="false">SUMIFS($F13:$F30,$D13:$D30,"Staff costs",$E13:$E30,"4")</f>
        <v>0</v>
      </c>
      <c r="F5" s="87" t="n">
        <f aca="false">SUMIFS($F13:$F30,$D13:$D30,"Staff costs",$E13:$E30,"5")</f>
        <v>0</v>
      </c>
      <c r="G5" s="87" t="n">
        <f aca="false">SUMIFS($F13:$F30,$D13:$D30,"Staff costs",$E13:$E30,"6")</f>
        <v>0</v>
      </c>
      <c r="H5" s="87" t="n">
        <f aca="false">SUMIFS($F13:$F30,$D13:$D30,"Staff costs",$E13:$E30,"7")</f>
        <v>0</v>
      </c>
      <c r="I5" s="87" t="n">
        <f aca="false">SUMIFS($F13:$F30,$D13:$D30,"Staff costs",$E13:$E30,"8")</f>
        <v>0</v>
      </c>
      <c r="J5" s="87" t="n">
        <f aca="false">SUMIFS($F13:$F30,$D13:$D30,"Staff costs",$E13:$E30,"9")</f>
        <v>0</v>
      </c>
      <c r="K5" s="87" t="n">
        <f aca="false">SUMIFS($F13:$F30,$D13:$D30,"Staff costs",$E13:$E30,"10")</f>
        <v>0</v>
      </c>
      <c r="L5" s="87" t="n">
        <f aca="false">SUM(B5:K5)</f>
        <v>7800</v>
      </c>
    </row>
    <row r="6" customFormat="false" ht="15" hidden="false" customHeight="false" outlineLevel="0" collapsed="false">
      <c r="A6" s="60" t="s">
        <v>50</v>
      </c>
      <c r="B6" s="87" t="n">
        <f aca="false">SUMIFS($F13:$F30,$D13:$D30,"Management",$E13:$E30,"1")</f>
        <v>3000</v>
      </c>
      <c r="C6" s="87" t="n">
        <f aca="false">SUMIFS($F13:$F30,$D13:$D30,"Management",$E13:$E30,"2")</f>
        <v>0</v>
      </c>
      <c r="D6" s="87" t="n">
        <f aca="false">SUMIFS($F13:$F30,$D13:$D30,"Management",$E13:$E30,"3")</f>
        <v>0</v>
      </c>
      <c r="E6" s="87" t="n">
        <f aca="false">SUMIFS($F13:$F30,$D13:$D30,"Management",$E13:$E30,"4")</f>
        <v>0</v>
      </c>
      <c r="F6" s="87" t="n">
        <f aca="false">SUMIFS($F13:$F30,$D13:$D30,"Management",$E13:$E30,"5")</f>
        <v>0</v>
      </c>
      <c r="G6" s="87" t="n">
        <f aca="false">SUMIFS($F13:$F30,$D13:$D30,"Management",$E13:$E30,"6")</f>
        <v>0</v>
      </c>
      <c r="H6" s="87" t="n">
        <f aca="false">SUMIFS($F13:$F30,$D13:$D30,"Management",$E13:$E30,"7")</f>
        <v>0</v>
      </c>
      <c r="I6" s="87" t="n">
        <f aca="false">SUMIFS($F13:$F30,$D13:$D30,"Management",$E13:$E30,"8")</f>
        <v>0</v>
      </c>
      <c r="J6" s="87" t="n">
        <f aca="false">SUMIFS($F13:$F30,$D13:$D30,"Management",$E13:$E30,"9")</f>
        <v>0</v>
      </c>
      <c r="K6" s="87" t="n">
        <f aca="false">SUMIFS($F13:$F30,$D13:$D30,"Management",$E13:$E30,"10")</f>
        <v>0</v>
      </c>
      <c r="L6" s="87" t="n">
        <f aca="false">SUM(B6:K6)</f>
        <v>3000</v>
      </c>
    </row>
    <row r="7" customFormat="false" ht="15" hidden="false" customHeight="false" outlineLevel="0" collapsed="false">
      <c r="A7" s="60" t="s">
        <v>52</v>
      </c>
      <c r="B7" s="87" t="n">
        <f aca="false">SUMIFS($F13:$F30,$D13:$D30,"Research stays",$E13:$E30,"1")</f>
        <v>3660</v>
      </c>
      <c r="C7" s="87" t="n">
        <f aca="false">SUMIFS($F13:$F30,$D13:$D30,"Research stays",$E13:$E30,"2")</f>
        <v>2440</v>
      </c>
      <c r="D7" s="87" t="n">
        <f aca="false">SUMIFS($F13:$F30,$D13:$D30,"Research stays",$E13:$E30,"3")</f>
        <v>1220</v>
      </c>
      <c r="E7" s="87" t="n">
        <f aca="false">SUMIFS($F13:$F30,$D13:$D30,"Research stays",$E13:$E30,"4")</f>
        <v>1220</v>
      </c>
      <c r="F7" s="87" t="n">
        <f aca="false">SUMIFS($F13:$F30,$D13:$D30,"Research stays",$E13:$E30,"5")</f>
        <v>2440</v>
      </c>
      <c r="G7" s="87" t="n">
        <f aca="false">SUMIFS($F13:$F30,$D13:$D30,"Research stays",$E13:$E30,"6")</f>
        <v>2440</v>
      </c>
      <c r="H7" s="87" t="n">
        <f aca="false">SUMIFS($F13:$F30,$D13:$D30,"Research stays",$E13:$E30,"7")</f>
        <v>2440</v>
      </c>
      <c r="I7" s="87" t="n">
        <f aca="false">SUMIFS($F13:$F30,$D13:$D30,"Research stays",$E13:$E30,"8")</f>
        <v>0</v>
      </c>
      <c r="J7" s="87" t="n">
        <f aca="false">SUMIFS($F13:$F30,$D13:$D30,"Research stays",$E13:$E30,"9")</f>
        <v>0</v>
      </c>
      <c r="K7" s="87" t="n">
        <f aca="false">SUMIFS($F13:$F30,$D13:$D30,"Research stays",$E13:$E30,"10")</f>
        <v>0</v>
      </c>
      <c r="L7" s="87" t="n">
        <f aca="false">SUM(B7:K7)</f>
        <v>15860</v>
      </c>
    </row>
    <row r="8" customFormat="false" ht="13.8" hidden="false" customHeight="false" outlineLevel="0" collapsed="false">
      <c r="A8" s="60" t="s">
        <v>53</v>
      </c>
      <c r="B8" s="88" t="n">
        <f aca="false">SUMIFS($F13:$F30,$D13:$D30,"Meetings &amp; events",$E13:$E30,"1")</f>
        <v>0</v>
      </c>
      <c r="C8" s="88" t="n">
        <f aca="false">SUMIFS($F13:$F30,$D13:$D30,"Meetings &amp; events",$E13:$E30,"2")</f>
        <v>0</v>
      </c>
      <c r="D8" s="88" t="n">
        <f aca="false">SUMIFS($F13:$F30,$D13:$D30,"Meetings &amp; events",$E13:$E30,"3")</f>
        <v>0</v>
      </c>
      <c r="E8" s="88" t="n">
        <f aca="false">SUMIFS($F13:$F30,$D13:$D30,"Meetings &amp; events",$E13:$E30,"4")</f>
        <v>0</v>
      </c>
      <c r="F8" s="88" t="n">
        <f aca="false">SUMIFS($F13:$F30,$D13:$D30,"Meetings &amp; events",$E13:$E30,"5")</f>
        <v>0</v>
      </c>
      <c r="G8" s="88" t="n">
        <f aca="false">SUMIFS($F13:$F30,$D13:$D30,"Meetings &amp; events",$E13:$E30,"6")</f>
        <v>0</v>
      </c>
      <c r="H8" s="88" t="n">
        <f aca="false">SUMIFS($F13:$F30,$D13:$D30,"Meetings &amp; events",$E13:$E30,"7")</f>
        <v>0</v>
      </c>
      <c r="I8" s="88" t="n">
        <f aca="false">SUMIFS($F13:$F30,$D13:$D30,"Meetings &amp; events",$E13:$E30,"8")</f>
        <v>0</v>
      </c>
      <c r="J8" s="88" t="n">
        <f aca="false">SUMIFS($F13:$F30,$D13:$D30,"Meetings &amp; events",$E13:$E30,"9")</f>
        <v>0</v>
      </c>
      <c r="K8" s="88" t="n">
        <f aca="false">SUMIFS($F13:$F30,$D13:$D30,"Meetings &amp; events",$E13:$E30,"10")</f>
        <v>0</v>
      </c>
      <c r="L8" s="88" t="n">
        <f aca="false">SUM(B8:K8)</f>
        <v>0</v>
      </c>
    </row>
    <row r="9" customFormat="false" ht="15" hidden="false" customHeight="false" outlineLevel="0" collapsed="false">
      <c r="A9" s="70" t="s">
        <v>14</v>
      </c>
      <c r="B9" s="89" t="n">
        <f aca="false">SUM(B5:B8)</f>
        <v>14460</v>
      </c>
      <c r="C9" s="89" t="n">
        <f aca="false">SUM(C5:C8)</f>
        <v>2440</v>
      </c>
      <c r="D9" s="89" t="n">
        <f aca="false">SUM(D5:D8)</f>
        <v>1220</v>
      </c>
      <c r="E9" s="89" t="n">
        <f aca="false">SUM(E5:E8)</f>
        <v>1220</v>
      </c>
      <c r="F9" s="89" t="n">
        <f aca="false">SUM(F5:F8)</f>
        <v>2440</v>
      </c>
      <c r="G9" s="89" t="n">
        <f aca="false">SUM(G5:G8)</f>
        <v>2440</v>
      </c>
      <c r="H9" s="89" t="n">
        <f aca="false">SUM(H5:H8)</f>
        <v>2440</v>
      </c>
      <c r="I9" s="89" t="n">
        <f aca="false">SUM(I5:I8)</f>
        <v>0</v>
      </c>
      <c r="J9" s="89" t="n">
        <f aca="false">SUM(J5:J8)</f>
        <v>0</v>
      </c>
      <c r="K9" s="89" t="n">
        <f aca="false">SUM(K5:K8)</f>
        <v>0</v>
      </c>
      <c r="L9" s="89" t="n">
        <f aca="false">SUM(B9:K9)</f>
        <v>26660</v>
      </c>
    </row>
    <row r="10" customFormat="false" ht="15" hidden="false" customHeight="false" outlineLevel="0" collapsed="false">
      <c r="A10" s="74"/>
      <c r="B10" s="24"/>
      <c r="C10" s="24"/>
      <c r="D10" s="24"/>
      <c r="E10" s="24"/>
      <c r="F10" s="101"/>
    </row>
    <row r="12" customFormat="false" ht="15" hidden="false" customHeight="false" outlineLevel="0" collapsed="false">
      <c r="A12" s="57" t="s">
        <v>74</v>
      </c>
      <c r="B12" s="57" t="s">
        <v>75</v>
      </c>
      <c r="C12" s="57"/>
      <c r="D12" s="57" t="s">
        <v>76</v>
      </c>
      <c r="E12" s="57" t="s">
        <v>77</v>
      </c>
      <c r="F12" s="57" t="s">
        <v>78</v>
      </c>
      <c r="H12" s="147"/>
    </row>
    <row r="13" customFormat="false" ht="15.75" hidden="false" customHeight="true" outlineLevel="0" collapsed="false">
      <c r="A13" s="91" t="s">
        <v>117</v>
      </c>
      <c r="B13" s="91" t="s">
        <v>118</v>
      </c>
      <c r="C13" s="91"/>
      <c r="D13" s="92" t="s">
        <v>81</v>
      </c>
      <c r="E13" s="93" t="n">
        <v>1</v>
      </c>
      <c r="F13" s="94" t="n">
        <v>7800</v>
      </c>
      <c r="I13" s="173"/>
    </row>
    <row r="14" customFormat="false" ht="15.75" hidden="false" customHeight="false" outlineLevel="0" collapsed="false">
      <c r="A14" s="91"/>
      <c r="B14" s="96"/>
      <c r="C14" s="97"/>
      <c r="D14" s="92"/>
      <c r="E14" s="93"/>
      <c r="F14" s="94"/>
      <c r="I14" s="173"/>
    </row>
    <row r="15" customFormat="false" ht="19.45" hidden="false" customHeight="true" outlineLevel="0" collapsed="false">
      <c r="A15" s="91" t="s">
        <v>82</v>
      </c>
      <c r="B15" s="98" t="s">
        <v>124</v>
      </c>
      <c r="C15" s="98"/>
      <c r="D15" s="92" t="s">
        <v>84</v>
      </c>
      <c r="E15" s="93" t="n">
        <v>1</v>
      </c>
      <c r="F15" s="143" t="n">
        <v>3000</v>
      </c>
      <c r="G15" s="0" t="s">
        <v>85</v>
      </c>
      <c r="I15" s="173"/>
    </row>
    <row r="16" customFormat="false" ht="15.75" hidden="false" customHeight="false" outlineLevel="0" collapsed="false">
      <c r="A16" s="123"/>
      <c r="B16" s="123"/>
      <c r="C16" s="123"/>
      <c r="D16" s="124"/>
      <c r="E16" s="125"/>
      <c r="F16" s="174"/>
      <c r="G16" s="175"/>
      <c r="H16" s="118"/>
      <c r="I16" s="173"/>
    </row>
    <row r="17" customFormat="false" ht="15.75" hidden="false" customHeight="true" outlineLevel="0" collapsed="false">
      <c r="A17" s="176" t="s">
        <v>136</v>
      </c>
      <c r="B17" s="177" t="s">
        <v>137</v>
      </c>
      <c r="C17" s="178"/>
      <c r="D17" s="110" t="s">
        <v>93</v>
      </c>
      <c r="E17" s="111" t="n">
        <v>2</v>
      </c>
      <c r="F17" s="112" t="n">
        <v>2440</v>
      </c>
      <c r="G17" s="11"/>
      <c r="H17" s="118"/>
      <c r="I17" s="173"/>
    </row>
    <row r="18" customFormat="false" ht="15" hidden="false" customHeight="true" outlineLevel="0" collapsed="false">
      <c r="A18" s="176" t="s">
        <v>138</v>
      </c>
      <c r="B18" s="115" t="s">
        <v>139</v>
      </c>
      <c r="C18" s="115"/>
      <c r="D18" s="110" t="s">
        <v>93</v>
      </c>
      <c r="E18" s="111" t="n">
        <v>3</v>
      </c>
      <c r="F18" s="112" t="n">
        <v>1220</v>
      </c>
      <c r="G18" s="11"/>
      <c r="H18" s="118"/>
      <c r="I18" s="173"/>
    </row>
    <row r="19" customFormat="false" ht="15.75" hidden="false" customHeight="true" outlineLevel="0" collapsed="false">
      <c r="A19" s="179" t="s">
        <v>140</v>
      </c>
      <c r="B19" s="115" t="s">
        <v>141</v>
      </c>
      <c r="C19" s="115"/>
      <c r="D19" s="110" t="s">
        <v>93</v>
      </c>
      <c r="E19" s="111" t="n">
        <v>5</v>
      </c>
      <c r="F19" s="112" t="n">
        <v>2440</v>
      </c>
      <c r="G19" s="117" t="s">
        <v>142</v>
      </c>
      <c r="I19" s="173"/>
    </row>
    <row r="20" customFormat="false" ht="15.75" hidden="false" customHeight="true" outlineLevel="0" collapsed="false">
      <c r="A20" s="180" t="s">
        <v>143</v>
      </c>
      <c r="B20" s="108" t="s">
        <v>144</v>
      </c>
      <c r="C20" s="108"/>
      <c r="D20" s="110" t="s">
        <v>93</v>
      </c>
      <c r="E20" s="111" t="n">
        <v>6</v>
      </c>
      <c r="F20" s="112" t="n">
        <v>2440</v>
      </c>
      <c r="G20" s="117"/>
      <c r="I20" s="173"/>
    </row>
    <row r="21" customFormat="false" ht="13.8" hidden="false" customHeight="false" outlineLevel="0" collapsed="false">
      <c r="A21" s="180" t="s">
        <v>145</v>
      </c>
      <c r="B21" s="108" t="s">
        <v>144</v>
      </c>
      <c r="C21" s="108"/>
      <c r="D21" s="110" t="s">
        <v>93</v>
      </c>
      <c r="E21" s="111" t="n">
        <v>7</v>
      </c>
      <c r="F21" s="112" t="n">
        <v>2440</v>
      </c>
      <c r="G21" s="11"/>
    </row>
    <row r="22" customFormat="false" ht="13.8" hidden="false" customHeight="true" outlineLevel="0" collapsed="false">
      <c r="A22" s="104" t="s">
        <v>146</v>
      </c>
      <c r="B22" s="104" t="s">
        <v>147</v>
      </c>
      <c r="C22" s="104"/>
      <c r="D22" s="105" t="s">
        <v>93</v>
      </c>
      <c r="E22" s="106" t="n">
        <v>1</v>
      </c>
      <c r="F22" s="107" t="n">
        <v>3660</v>
      </c>
      <c r="G22" s="117" t="s">
        <v>148</v>
      </c>
    </row>
    <row r="23" customFormat="false" ht="15" hidden="false" customHeight="true" outlineLevel="0" collapsed="false">
      <c r="A23" s="104" t="s">
        <v>149</v>
      </c>
      <c r="B23" s="104" t="s">
        <v>150</v>
      </c>
      <c r="C23" s="104"/>
      <c r="D23" s="105" t="s">
        <v>93</v>
      </c>
      <c r="E23" s="106" t="n">
        <v>4</v>
      </c>
      <c r="F23" s="107" t="n">
        <v>1220</v>
      </c>
      <c r="G23" s="117"/>
    </row>
    <row r="24" customFormat="false" ht="15" hidden="false" customHeight="false" outlineLevel="0" collapsed="false">
      <c r="A24" s="123"/>
      <c r="B24" s="123"/>
      <c r="C24" s="123"/>
      <c r="D24" s="124"/>
      <c r="E24" s="125"/>
      <c r="F24" s="126"/>
    </row>
    <row r="25" customFormat="false" ht="15" hidden="false" customHeight="true" outlineLevel="0" collapsed="false">
      <c r="A25" s="91" t="s">
        <v>151</v>
      </c>
      <c r="B25" s="91" t="s">
        <v>152</v>
      </c>
      <c r="C25" s="91"/>
      <c r="D25" s="110" t="s">
        <v>95</v>
      </c>
      <c r="E25" s="93" t="n">
        <v>1</v>
      </c>
      <c r="F25" s="126"/>
      <c r="G25" s="135"/>
    </row>
    <row r="26" customFormat="false" ht="30" hidden="false" customHeight="true" outlineLevel="0" collapsed="false">
      <c r="A26" s="115" t="s">
        <v>153</v>
      </c>
      <c r="B26" s="115" t="s">
        <v>154</v>
      </c>
      <c r="C26" s="115"/>
      <c r="D26" s="110" t="s">
        <v>95</v>
      </c>
      <c r="E26" s="93" t="n">
        <v>1</v>
      </c>
      <c r="G26" s="181"/>
      <c r="H26" s="181"/>
      <c r="I26" s="181"/>
    </row>
    <row r="27" customFormat="false" ht="15" hidden="false" customHeight="true" outlineLevel="0" collapsed="false">
      <c r="A27" s="108"/>
      <c r="B27" s="115"/>
      <c r="C27" s="115"/>
      <c r="D27" s="110"/>
      <c r="E27" s="111"/>
      <c r="F27" s="112"/>
      <c r="G27" s="182"/>
      <c r="H27" s="182"/>
      <c r="I27" s="182"/>
    </row>
    <row r="28" customFormat="false" ht="15.75" hidden="false" customHeight="false" outlineLevel="0" collapsed="false">
      <c r="A28" s="183"/>
      <c r="B28" s="91"/>
      <c r="C28" s="91"/>
      <c r="D28" s="153"/>
      <c r="E28" s="93"/>
      <c r="F28" s="94"/>
      <c r="G28" s="173"/>
    </row>
    <row r="29" customFormat="false" ht="15" hidden="false" customHeight="false" outlineLevel="0" collapsed="false">
      <c r="A29" s="91"/>
      <c r="B29" s="91"/>
      <c r="C29" s="91"/>
      <c r="D29" s="153"/>
      <c r="E29" s="93"/>
      <c r="F29" s="94"/>
    </row>
    <row r="30" customFormat="false" ht="15" hidden="false" customHeight="false" outlineLevel="0" collapsed="false">
      <c r="A30" s="91"/>
      <c r="B30" s="91"/>
      <c r="C30" s="91"/>
      <c r="D30" s="153"/>
      <c r="E30" s="93"/>
      <c r="F30" s="94"/>
    </row>
    <row r="31" customFormat="false" ht="15" hidden="false" customHeight="false" outlineLevel="0" collapsed="false">
      <c r="A31" s="127" t="s">
        <v>97</v>
      </c>
      <c r="B31" s="127"/>
      <c r="C31" s="127"/>
    </row>
    <row r="32" customFormat="false" ht="15" hidden="false" customHeight="false" outlineLevel="0" collapsed="false">
      <c r="A32" s="127" t="s">
        <v>98</v>
      </c>
      <c r="B32" s="128" t="s">
        <v>99</v>
      </c>
      <c r="C32" s="129" t="s">
        <v>100</v>
      </c>
    </row>
    <row r="35" customFormat="false" ht="21" hidden="false" customHeight="false" outlineLevel="0" collapsed="false">
      <c r="A35" s="1" t="s">
        <v>155</v>
      </c>
    </row>
    <row r="36" customFormat="false" ht="15" hidden="false" customHeight="false" outlineLevel="0" collapsed="false">
      <c r="A36" s="130"/>
      <c r="B36" s="130" t="s">
        <v>59</v>
      </c>
      <c r="C36" s="130" t="s">
        <v>60</v>
      </c>
      <c r="D36" s="130" t="s">
        <v>61</v>
      </c>
      <c r="E36" s="130" t="s">
        <v>62</v>
      </c>
      <c r="F36" s="130" t="s">
        <v>63</v>
      </c>
      <c r="G36" s="130" t="s">
        <v>64</v>
      </c>
      <c r="H36" s="130" t="s">
        <v>65</v>
      </c>
      <c r="I36" s="130" t="s">
        <v>66</v>
      </c>
      <c r="J36" s="130" t="s">
        <v>67</v>
      </c>
      <c r="K36" s="130" t="s">
        <v>68</v>
      </c>
      <c r="L36" s="130" t="s">
        <v>14</v>
      </c>
    </row>
    <row r="37" customFormat="false" ht="30" hidden="false" customHeight="false" outlineLevel="0" collapsed="false">
      <c r="A37" s="131"/>
      <c r="B37" s="165" t="s">
        <v>156</v>
      </c>
      <c r="C37" s="165" t="s">
        <v>130</v>
      </c>
      <c r="D37" s="165" t="s">
        <v>131</v>
      </c>
      <c r="E37" s="165" t="s">
        <v>157</v>
      </c>
      <c r="F37" s="165" t="s">
        <v>126</v>
      </c>
      <c r="G37" s="165" t="s">
        <v>158</v>
      </c>
      <c r="H37" s="165" t="s">
        <v>134</v>
      </c>
      <c r="I37" s="165" t="s">
        <v>135</v>
      </c>
      <c r="J37" s="165" t="s">
        <v>73</v>
      </c>
      <c r="K37" s="165" t="s">
        <v>73</v>
      </c>
      <c r="L37" s="131"/>
    </row>
    <row r="38" customFormat="false" ht="15" hidden="false" customHeight="false" outlineLevel="0" collapsed="false">
      <c r="A38" s="78" t="s">
        <v>81</v>
      </c>
      <c r="B38" s="87" t="n">
        <f aca="false">SUMIFS($F46:$F74,$D46:$D74,"Staff costs",$E46:$E74,"1")</f>
        <v>0</v>
      </c>
      <c r="C38" s="87" t="n">
        <f aca="false">SUMIFS($F46:$F74,$D46:$D74,"Staff costs",$E46:$E74,"2")</f>
        <v>0</v>
      </c>
      <c r="D38" s="87" t="n">
        <f aca="false">SUMIFS($F46:$F74,$D46:$D74,"Staff costs",$E46:$E74,"3")</f>
        <v>0</v>
      </c>
      <c r="E38" s="87" t="n">
        <f aca="false">SUMIFS($F46:$F74,$D46:$D74,"Staff costs",$E46:$E74,"4")</f>
        <v>0</v>
      </c>
      <c r="F38" s="87" t="n">
        <f aca="false">SUMIFS($F46:$F74,$D46:$D74,"Staff costs",$E46:$E74,"5")</f>
        <v>0</v>
      </c>
      <c r="G38" s="87" t="n">
        <f aca="false">SUMIFS($F46:$F74,$D46:$D74,"Staff costs",$E46:$E74,"6")</f>
        <v>0</v>
      </c>
      <c r="H38" s="87" t="n">
        <f aca="false">SUMIFS($F46:$F74,$D46:$D74,"Staff costs",$E46:$E74,"7")</f>
        <v>0</v>
      </c>
      <c r="I38" s="87" t="n">
        <f aca="false">SUMIFS($F46:$F74,$D46:$D74,"Staff costs",$E46:$E74,"8")</f>
        <v>0</v>
      </c>
      <c r="J38" s="87" t="n">
        <f aca="false">SUMIFS($F46:$F74,$D46:$D74,"Staff costs",$E46:$E74,"9")</f>
        <v>0</v>
      </c>
      <c r="K38" s="87" t="n">
        <f aca="false">SUMIFS($F46:$F74,$D46:$D74,"Staff costs",$E46:$E74,"10")</f>
        <v>0</v>
      </c>
      <c r="L38" s="87" t="n">
        <f aca="false">SUM(B38:K38)</f>
        <v>0</v>
      </c>
    </row>
    <row r="39" customFormat="false" ht="15" hidden="false" customHeight="false" outlineLevel="0" collapsed="false">
      <c r="A39" s="78" t="s">
        <v>50</v>
      </c>
      <c r="B39" s="87" t="n">
        <f aca="false">SUMIFS($F46:$F74,$D46:$D74,"Management",$E46:$E74,"1")</f>
        <v>0</v>
      </c>
      <c r="C39" s="87" t="n">
        <f aca="false">SUMIFS($F46:$F74,$D46:$D74,"Management",$E46:$E74,"2")</f>
        <v>0</v>
      </c>
      <c r="D39" s="87" t="n">
        <f aca="false">SUMIFS($F46:$F74,$D46:$D74,"Management",$E46:$E74,"3")</f>
        <v>0</v>
      </c>
      <c r="E39" s="87" t="n">
        <f aca="false">SUMIFS($F46:$F74,$D46:$D74,"Management",$E46:$E74,"4")</f>
        <v>0</v>
      </c>
      <c r="F39" s="87" t="n">
        <f aca="false">SUMIFS($F46:$F74,$D46:$D74,"Management",$E46:$E74,"5")</f>
        <v>0</v>
      </c>
      <c r="G39" s="87" t="n">
        <f aca="false">SUMIFS($F46:$F74,$D46:$D74,"Management",$E46:$E74,"6")</f>
        <v>0</v>
      </c>
      <c r="H39" s="87" t="n">
        <f aca="false">SUMIFS($F46:$F74,$D46:$D74,"Management",$E46:$E74,"7")</f>
        <v>0</v>
      </c>
      <c r="I39" s="87" t="n">
        <f aca="false">SUMIFS($F46:$F74,$D46:$D74,"Management",$E46:$E74,"8")</f>
        <v>0</v>
      </c>
      <c r="J39" s="87" t="n">
        <f aca="false">SUMIFS($F46:$F74,$D46:$D74,"Management",$E46:$E74,"9")</f>
        <v>0</v>
      </c>
      <c r="K39" s="87" t="n">
        <f aca="false">SUMIFS($F46:$F74,$D46:$D74,"Management",$E46:$E74,"10")</f>
        <v>0</v>
      </c>
      <c r="L39" s="87" t="n">
        <f aca="false">SUM(B39:K39)</f>
        <v>0</v>
      </c>
    </row>
    <row r="40" customFormat="false" ht="15" hidden="false" customHeight="false" outlineLevel="0" collapsed="false">
      <c r="A40" s="78" t="s">
        <v>52</v>
      </c>
      <c r="B40" s="87" t="n">
        <f aca="false">SUMIFS($F46:$F74,$D46:$D74,"Research stays",$E46:$E74,"1")</f>
        <v>0</v>
      </c>
      <c r="C40" s="87" t="n">
        <f aca="false">SUMIFS($F46:$F74,$D46:$D74,"Research stays",$E46:$E74,"2")</f>
        <v>0</v>
      </c>
      <c r="D40" s="87" t="n">
        <f aca="false">SUMIFS($F46:$F74,$D46:$D74,"Research stays",$E46:$E74,"3")</f>
        <v>0</v>
      </c>
      <c r="E40" s="87" t="n">
        <f aca="false">SUMIFS($F46:$F74,$D46:$D74,"Research stays",$E46:$E74,"4")</f>
        <v>0</v>
      </c>
      <c r="F40" s="87" t="n">
        <f aca="false">SUMIFS($F46:$F74,$D46:$D74,"Research stays",$E46:$E74,"5")</f>
        <v>0</v>
      </c>
      <c r="G40" s="87" t="n">
        <f aca="false">SUMIFS($F46:$F74,$D46:$D74,"Research stays",$E46:$E74,"6")</f>
        <v>0</v>
      </c>
      <c r="H40" s="87" t="n">
        <f aca="false">SUMIFS($F46:$F74,$D46:$D74,"Research stays",$E46:$E74,"7")</f>
        <v>0</v>
      </c>
      <c r="I40" s="87" t="n">
        <f aca="false">SUMIFS($F46:$F74,$D46:$D74,"Research stays",$E46:$E74,"8")</f>
        <v>0</v>
      </c>
      <c r="J40" s="87" t="n">
        <f aca="false">SUMIFS($F46:$F74,$D46:$D74,"Research stays",$E46:$E74,"9")</f>
        <v>0</v>
      </c>
      <c r="K40" s="87" t="n">
        <f aca="false">SUMIFS($F46:$F74,$D46:$D74,"Research stays",$E46:$E74,"10")</f>
        <v>0</v>
      </c>
      <c r="L40" s="87" t="n">
        <f aca="false">SUM(B40:K40)</f>
        <v>0</v>
      </c>
    </row>
    <row r="41" customFormat="false" ht="15.75" hidden="false" customHeight="false" outlineLevel="0" collapsed="false">
      <c r="A41" s="78" t="s">
        <v>53</v>
      </c>
      <c r="B41" s="88" t="n">
        <f aca="false">SUMIFS($F46:$F74,$D46:$D74,"Meetings &amp; events",$E46:$E74,"1")</f>
        <v>0</v>
      </c>
      <c r="C41" s="88" t="n">
        <f aca="false">SUMIFS($F46:$F74,$D46:$D74,"Meetings &amp; events",$E46:$E74,"2")</f>
        <v>0</v>
      </c>
      <c r="D41" s="88" t="n">
        <f aca="false">SUMIFS($F46:$F74,$D46:$D74,"Meetings &amp; events",$E46:$E74,"3")</f>
        <v>0</v>
      </c>
      <c r="E41" s="88" t="n">
        <f aca="false">SUMIFS($F46:$F74,$D46:$D74,"Meetings &amp; events",$E46:$E74,"4")</f>
        <v>0</v>
      </c>
      <c r="F41" s="88" t="n">
        <f aca="false">SUMIFS($F46:$F74,$D46:$D74,"Meetings &amp; events",$E46:$E74,"5")</f>
        <v>0</v>
      </c>
      <c r="G41" s="88" t="n">
        <f aca="false">SUMIFS($F46:$F74,$D46:$D74,"Meetings &amp; events",$E46:$E74,"6")</f>
        <v>0</v>
      </c>
      <c r="H41" s="88" t="n">
        <f aca="false">SUMIFS($F46:$F74,$D46:$D74,"Meetings &amp; events",$E46:$E74,"7")</f>
        <v>0</v>
      </c>
      <c r="I41" s="88" t="n">
        <f aca="false">SUMIFS($F46:$F74,$D46:$D74,"Meetings &amp; events",$E46:$E74,"8")</f>
        <v>0</v>
      </c>
      <c r="J41" s="88" t="n">
        <f aca="false">SUMIFS($F46:$F74,$D46:$D74,"Meetings &amp; events",$E46:$E74,"9")</f>
        <v>0</v>
      </c>
      <c r="K41" s="88" t="n">
        <f aca="false">SUMIFS($F46:$F74,$D46:$D74,"Meetings &amp; events",$E46:$E74,"10")</f>
        <v>0</v>
      </c>
      <c r="L41" s="88" t="n">
        <f aca="false">SUM(B41:K41)</f>
        <v>0</v>
      </c>
    </row>
    <row r="42" customFormat="false" ht="15" hidden="false" customHeight="false" outlineLevel="0" collapsed="false">
      <c r="A42" s="81" t="s">
        <v>14</v>
      </c>
      <c r="B42" s="89" t="n">
        <f aca="false">SUM(B38:B41)</f>
        <v>0</v>
      </c>
      <c r="C42" s="89" t="n">
        <f aca="false">SUM(C38:C41)</f>
        <v>0</v>
      </c>
      <c r="D42" s="89" t="n">
        <f aca="false">SUM(D38:D41)</f>
        <v>0</v>
      </c>
      <c r="E42" s="89" t="n">
        <f aca="false">SUM(E38:E41)</f>
        <v>0</v>
      </c>
      <c r="F42" s="89" t="n">
        <f aca="false">SUM(F38:F41)</f>
        <v>0</v>
      </c>
      <c r="G42" s="89" t="n">
        <f aca="false">SUM(G38:G41)</f>
        <v>0</v>
      </c>
      <c r="H42" s="89" t="n">
        <f aca="false">SUM(H38:H41)</f>
        <v>0</v>
      </c>
      <c r="I42" s="89" t="n">
        <f aca="false">SUM(I38:I41)</f>
        <v>0</v>
      </c>
      <c r="J42" s="89" t="n">
        <f aca="false">SUM(J38:J41)</f>
        <v>0</v>
      </c>
      <c r="K42" s="89" t="n">
        <f aca="false">SUM(K38:K41)</f>
        <v>0</v>
      </c>
      <c r="L42" s="89" t="n">
        <f aca="false">SUM(B42:K42)</f>
        <v>0</v>
      </c>
    </row>
    <row r="43" customFormat="false" ht="15" hidden="false" customHeight="false" outlineLevel="0" collapsed="false">
      <c r="A43" s="74"/>
      <c r="B43" s="24"/>
      <c r="C43" s="24"/>
      <c r="D43" s="24"/>
      <c r="E43" s="24"/>
      <c r="F43" s="101"/>
    </row>
    <row r="45" customFormat="false" ht="15" hidden="false" customHeight="false" outlineLevel="0" collapsed="false">
      <c r="A45" s="76" t="s">
        <v>105</v>
      </c>
      <c r="B45" s="76" t="s">
        <v>75</v>
      </c>
      <c r="C45" s="76"/>
      <c r="D45" s="76" t="s">
        <v>76</v>
      </c>
      <c r="E45" s="76" t="s">
        <v>77</v>
      </c>
      <c r="F45" s="76" t="s">
        <v>4</v>
      </c>
      <c r="G45" s="133" t="s">
        <v>106</v>
      </c>
      <c r="H45" s="133" t="s">
        <v>127</v>
      </c>
      <c r="I45" s="133" t="s">
        <v>108</v>
      </c>
      <c r="J45" s="133" t="s">
        <v>109</v>
      </c>
      <c r="K45" s="133" t="s">
        <v>110</v>
      </c>
      <c r="L45" s="133" t="s">
        <v>111</v>
      </c>
    </row>
    <row r="46" customFormat="false" ht="13.8" hidden="false" customHeight="true" outlineLevel="0" collapsed="false">
      <c r="A46" s="91"/>
      <c r="B46" s="115"/>
      <c r="C46" s="115"/>
      <c r="D46" s="92"/>
      <c r="E46" s="93"/>
      <c r="F46" s="94"/>
      <c r="G46" s="135"/>
      <c r="H46" s="135"/>
      <c r="I46" s="135"/>
      <c r="J46" s="135"/>
      <c r="K46" s="135"/>
      <c r="L46" s="166"/>
    </row>
    <row r="47" customFormat="false" ht="22.45" hidden="false" customHeight="true" outlineLevel="0" collapsed="false">
      <c r="A47" s="91"/>
      <c r="B47" s="115"/>
      <c r="C47" s="115"/>
      <c r="D47" s="92"/>
      <c r="E47" s="93"/>
      <c r="F47" s="94"/>
      <c r="G47" s="135"/>
      <c r="H47" s="135"/>
      <c r="I47" s="135"/>
      <c r="J47" s="135"/>
      <c r="K47" s="135"/>
      <c r="L47" s="136"/>
    </row>
    <row r="48" customFormat="false" ht="13.8" hidden="false" customHeight="true" outlineLevel="0" collapsed="false">
      <c r="A48" s="91"/>
      <c r="B48" s="91"/>
      <c r="C48" s="91"/>
      <c r="D48" s="92"/>
      <c r="E48" s="93"/>
      <c r="F48" s="94"/>
      <c r="G48" s="135"/>
      <c r="H48" s="135"/>
      <c r="I48" s="135"/>
      <c r="J48" s="135"/>
      <c r="K48" s="135"/>
      <c r="L48" s="166"/>
    </row>
    <row r="49" customFormat="false" ht="15" hidden="false" customHeight="true" outlineLevel="0" collapsed="false">
      <c r="A49" s="91"/>
      <c r="B49" s="91"/>
      <c r="C49" s="91"/>
      <c r="D49" s="153"/>
      <c r="E49" s="93"/>
      <c r="F49" s="94"/>
      <c r="G49" s="135"/>
      <c r="H49" s="135"/>
      <c r="I49" s="135"/>
      <c r="J49" s="135"/>
      <c r="K49" s="135"/>
      <c r="L49" s="136"/>
    </row>
    <row r="50" s="47" customFormat="true" ht="13.8" hidden="false" customHeight="false" outlineLevel="0" collapsed="false">
      <c r="A50" s="91"/>
      <c r="B50" s="96"/>
      <c r="C50" s="97"/>
      <c r="D50" s="92"/>
      <c r="E50" s="93"/>
      <c r="F50" s="94"/>
      <c r="G50" s="135"/>
      <c r="H50" s="135"/>
      <c r="I50" s="138"/>
      <c r="J50" s="135"/>
      <c r="K50" s="135"/>
      <c r="L50" s="136"/>
    </row>
    <row r="51" customFormat="false" ht="13.8" hidden="false" customHeight="false" outlineLevel="0" collapsed="false">
      <c r="A51" s="176"/>
      <c r="B51" s="91"/>
      <c r="C51" s="91"/>
      <c r="D51" s="153"/>
      <c r="E51" s="93"/>
      <c r="F51" s="184"/>
      <c r="G51" s="185"/>
      <c r="H51" s="135"/>
      <c r="I51" s="135"/>
      <c r="J51" s="135"/>
      <c r="K51" s="135"/>
      <c r="L51" s="166"/>
    </row>
    <row r="52" customFormat="false" ht="15" hidden="false" customHeight="false" outlineLevel="0" collapsed="false">
      <c r="A52" s="176"/>
      <c r="B52" s="108"/>
      <c r="C52" s="108"/>
      <c r="D52" s="110"/>
      <c r="E52" s="111"/>
      <c r="F52" s="112"/>
      <c r="G52" s="135"/>
      <c r="H52" s="135"/>
      <c r="I52" s="135"/>
      <c r="J52" s="135"/>
      <c r="K52" s="135"/>
      <c r="L52" s="136"/>
    </row>
    <row r="53" customFormat="false" ht="15" hidden="false" customHeight="true" outlineLevel="0" collapsed="false">
      <c r="A53" s="176"/>
      <c r="B53" s="115"/>
      <c r="C53" s="115"/>
      <c r="D53" s="110"/>
      <c r="E53" s="111"/>
      <c r="F53" s="112"/>
      <c r="G53" s="135"/>
      <c r="H53" s="135"/>
      <c r="I53" s="135"/>
      <c r="J53" s="135"/>
      <c r="K53" s="135"/>
      <c r="L53" s="136"/>
    </row>
    <row r="54" customFormat="false" ht="15" hidden="false" customHeight="false" outlineLevel="0" collapsed="false">
      <c r="A54" s="176"/>
      <c r="B54" s="115"/>
      <c r="C54" s="115"/>
      <c r="D54" s="110"/>
      <c r="E54" s="111"/>
      <c r="F54" s="112"/>
      <c r="G54" s="135"/>
      <c r="H54" s="135"/>
      <c r="I54" s="135"/>
      <c r="J54" s="135"/>
      <c r="K54" s="135"/>
      <c r="L54" s="136"/>
    </row>
    <row r="55" customFormat="false" ht="15" hidden="false" customHeight="false" outlineLevel="0" collapsed="false">
      <c r="A55" s="186"/>
      <c r="B55" s="115"/>
      <c r="C55" s="115"/>
      <c r="D55" s="110"/>
      <c r="E55" s="93"/>
      <c r="F55" s="187"/>
      <c r="G55" s="135"/>
      <c r="H55" s="135"/>
      <c r="I55" s="135"/>
      <c r="J55" s="135"/>
      <c r="K55" s="135"/>
      <c r="L55" s="136"/>
    </row>
    <row r="56" customFormat="false" ht="15" hidden="false" customHeight="false" outlineLevel="0" collapsed="false">
      <c r="A56" s="186"/>
      <c r="B56" s="115"/>
      <c r="C56" s="115"/>
      <c r="D56" s="110"/>
      <c r="E56" s="93"/>
      <c r="F56" s="94"/>
      <c r="G56" s="135"/>
      <c r="H56" s="135"/>
      <c r="I56" s="135"/>
      <c r="L56" s="136"/>
    </row>
    <row r="57" customFormat="false" ht="15" hidden="false" customHeight="false" outlineLevel="0" collapsed="false">
      <c r="A57" s="91"/>
      <c r="B57" s="91"/>
      <c r="C57" s="91"/>
      <c r="D57" s="153"/>
      <c r="E57" s="93"/>
      <c r="F57" s="94"/>
      <c r="G57" s="135"/>
      <c r="H57" s="135"/>
      <c r="I57" s="135"/>
      <c r="J57" s="135"/>
      <c r="K57" s="135"/>
      <c r="L57" s="136"/>
    </row>
    <row r="58" customFormat="false" ht="15" hidden="false" customHeight="false" outlineLevel="0" collapsed="false">
      <c r="A58" s="91"/>
      <c r="B58" s="91"/>
      <c r="C58" s="91"/>
      <c r="D58" s="153"/>
      <c r="E58" s="93"/>
      <c r="F58" s="94"/>
      <c r="G58" s="135"/>
      <c r="H58" s="135"/>
      <c r="I58" s="135"/>
      <c r="J58" s="135"/>
      <c r="K58" s="135"/>
      <c r="L58" s="136"/>
    </row>
    <row r="59" customFormat="false" ht="15" hidden="false" customHeight="false" outlineLevel="0" collapsed="false">
      <c r="A59" s="91"/>
      <c r="B59" s="91"/>
      <c r="C59" s="91"/>
      <c r="D59" s="153"/>
      <c r="E59" s="93"/>
      <c r="F59" s="94"/>
      <c r="L59" s="136"/>
    </row>
    <row r="60" customFormat="false" ht="15" hidden="false" customHeight="false" outlineLevel="0" collapsed="false">
      <c r="A60" s="91"/>
      <c r="B60" s="91"/>
      <c r="C60" s="91"/>
      <c r="D60" s="153"/>
      <c r="E60" s="93"/>
      <c r="F60" s="94"/>
      <c r="L60" s="136"/>
    </row>
    <row r="61" customFormat="false" ht="15" hidden="false" customHeight="false" outlineLevel="0" collapsed="false">
      <c r="A61" s="91"/>
      <c r="B61" s="91"/>
      <c r="C61" s="91"/>
      <c r="D61" s="153"/>
      <c r="E61" s="93"/>
      <c r="F61" s="94"/>
      <c r="G61" s="135"/>
      <c r="H61" s="135"/>
      <c r="I61" s="135"/>
      <c r="J61" s="135"/>
      <c r="K61" s="135"/>
      <c r="L61" s="166"/>
      <c r="M61" s="100"/>
    </row>
    <row r="62" customFormat="false" ht="15" hidden="false" customHeight="false" outlineLevel="0" collapsed="false">
      <c r="A62" s="91"/>
      <c r="B62" s="91"/>
      <c r="C62" s="91"/>
      <c r="D62" s="153"/>
      <c r="E62" s="93"/>
      <c r="F62" s="94"/>
      <c r="L62" s="136"/>
    </row>
    <row r="63" customFormat="false" ht="15" hidden="false" customHeight="false" outlineLevel="0" collapsed="false">
      <c r="A63" s="141"/>
      <c r="B63" s="91"/>
      <c r="C63" s="91"/>
      <c r="D63" s="153"/>
      <c r="E63" s="93"/>
      <c r="F63" s="94"/>
      <c r="G63" s="142"/>
      <c r="L63" s="136"/>
    </row>
    <row r="64" customFormat="false" ht="15" hidden="false" customHeight="false" outlineLevel="0" collapsed="false">
      <c r="A64" s="91"/>
      <c r="B64" s="91"/>
      <c r="C64" s="91"/>
      <c r="D64" s="153"/>
      <c r="E64" s="93"/>
      <c r="F64" s="94"/>
    </row>
    <row r="65" customFormat="false" ht="15" hidden="false" customHeight="false" outlineLevel="0" collapsed="false">
      <c r="A65" s="91"/>
      <c r="B65" s="96"/>
      <c r="C65" s="97"/>
      <c r="D65" s="153"/>
      <c r="E65" s="93"/>
      <c r="F65" s="94"/>
    </row>
    <row r="66" customFormat="false" ht="15" hidden="false" customHeight="false" outlineLevel="0" collapsed="false">
      <c r="A66" s="91"/>
      <c r="B66" s="96"/>
      <c r="C66" s="97"/>
      <c r="D66" s="153"/>
      <c r="E66" s="93"/>
      <c r="F66" s="94"/>
    </row>
    <row r="67" customFormat="false" ht="15" hidden="false" customHeight="false" outlineLevel="0" collapsed="false">
      <c r="A67" s="91"/>
      <c r="B67" s="96"/>
      <c r="C67" s="97"/>
      <c r="D67" s="153"/>
      <c r="E67" s="93"/>
      <c r="F67" s="94"/>
    </row>
    <row r="68" customFormat="false" ht="15" hidden="false" customHeight="false" outlineLevel="0" collapsed="false">
      <c r="A68" s="91"/>
      <c r="B68" s="96"/>
      <c r="C68" s="97"/>
      <c r="D68" s="153"/>
      <c r="E68" s="93"/>
      <c r="F68" s="94"/>
    </row>
    <row r="69" customFormat="false" ht="15" hidden="false" customHeight="false" outlineLevel="0" collapsed="false">
      <c r="A69" s="91"/>
      <c r="B69" s="96"/>
      <c r="C69" s="97"/>
      <c r="D69" s="153"/>
      <c r="E69" s="93"/>
      <c r="F69" s="94"/>
    </row>
    <row r="70" customFormat="false" ht="15" hidden="false" customHeight="false" outlineLevel="0" collapsed="false">
      <c r="A70" s="91"/>
      <c r="B70" s="96"/>
      <c r="C70" s="97"/>
      <c r="D70" s="153"/>
      <c r="E70" s="93"/>
      <c r="F70" s="94"/>
    </row>
    <row r="71" customFormat="false" ht="15" hidden="false" customHeight="false" outlineLevel="0" collapsed="false">
      <c r="A71" s="91"/>
      <c r="B71" s="91"/>
      <c r="C71" s="91"/>
      <c r="D71" s="153"/>
      <c r="E71" s="93"/>
      <c r="F71" s="94"/>
    </row>
    <row r="72" customFormat="false" ht="15" hidden="false" customHeight="false" outlineLevel="0" collapsed="false">
      <c r="A72" s="91"/>
      <c r="B72" s="91"/>
      <c r="C72" s="91"/>
      <c r="D72" s="153"/>
      <c r="E72" s="93"/>
      <c r="F72" s="94"/>
    </row>
    <row r="73" customFormat="false" ht="15" hidden="false" customHeight="false" outlineLevel="0" collapsed="false">
      <c r="A73" s="91"/>
      <c r="B73" s="91"/>
      <c r="C73" s="91"/>
      <c r="D73" s="153"/>
      <c r="E73" s="93"/>
      <c r="F73" s="94"/>
    </row>
    <row r="74" customFormat="false" ht="15" hidden="false" customHeight="false" outlineLevel="0" collapsed="false">
      <c r="A74" s="91"/>
      <c r="B74" s="91"/>
      <c r="C74" s="91"/>
      <c r="D74" s="153"/>
      <c r="E74" s="93"/>
      <c r="F74" s="94"/>
    </row>
    <row r="1048576" customFormat="false" ht="12.8" hidden="false" customHeight="false" outlineLevel="0" collapsed="false"/>
  </sheetData>
  <mergeCells count="42">
    <mergeCell ref="B12:C12"/>
    <mergeCell ref="B13:C13"/>
    <mergeCell ref="B15:C15"/>
    <mergeCell ref="B16:C16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G26:I26"/>
    <mergeCell ref="B27:C27"/>
    <mergeCell ref="G27:I27"/>
    <mergeCell ref="B28:C28"/>
    <mergeCell ref="B29:C29"/>
    <mergeCell ref="B30:C30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71:C71"/>
    <mergeCell ref="B72:C72"/>
    <mergeCell ref="B73:C73"/>
    <mergeCell ref="B74:C74"/>
  </mergeCells>
  <dataValidations count="4">
    <dataValidation allowBlank="true" operator="equal" showDropDown="false" showErrorMessage="true" showInputMessage="true" sqref="D13:D30 D46:D49 D51:D74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13:E30 E46:E49 E51:E74" type="list">
      <formula1>"1,2,3,4,5,6,7,8,9,10"</formula1>
      <formula2>0</formula2>
    </dataValidation>
    <dataValidation allowBlank="true" operator="equal" showDropDown="false" showErrorMessage="true" showInputMessage="true" sqref="D50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50" type="list">
      <formula1>"1,2,3,4,5,6,7,8,9,10"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RowHeight="15" zeroHeight="false" outlineLevelRow="0" outlineLevelCol="0"/>
  <cols>
    <col collapsed="false" customWidth="true" hidden="false" outlineLevel="0" max="1" min="1" style="0" width="32.42"/>
    <col collapsed="false" customWidth="true" hidden="false" outlineLevel="0" max="4" min="2" style="0" width="18.71"/>
    <col collapsed="false" customWidth="true" hidden="false" outlineLevel="0" max="5" min="5" style="0" width="18.12"/>
    <col collapsed="false" customWidth="true" hidden="false" outlineLevel="0" max="6" min="6" style="0" width="18.71"/>
    <col collapsed="false" customWidth="true" hidden="false" outlineLevel="0" max="7" min="7" style="0" width="16.87"/>
    <col collapsed="false" customWidth="true" hidden="false" outlineLevel="0" max="8" min="8" style="0" width="16.14"/>
    <col collapsed="false" customWidth="true" hidden="false" outlineLevel="0" max="9" min="9" style="0" width="15.57"/>
    <col collapsed="false" customWidth="true" hidden="false" outlineLevel="0" max="10" min="10" style="0" width="14.86"/>
    <col collapsed="false" customWidth="true" hidden="false" outlineLevel="0" max="11" min="11" style="0" width="14.43"/>
    <col collapsed="false" customWidth="true" hidden="false" outlineLevel="0" max="1025" min="12" style="0" width="10.65"/>
  </cols>
  <sheetData>
    <row r="1" customFormat="false" ht="15" hidden="false" customHeight="false" outlineLevel="0" collapsed="false">
      <c r="G1" s="83"/>
    </row>
    <row r="2" customFormat="false" ht="21" hidden="false" customHeight="false" outlineLevel="0" collapsed="false">
      <c r="A2" s="1" t="s">
        <v>159</v>
      </c>
    </row>
    <row r="3" customFormat="false" ht="15" hidden="false" customHeight="false" outlineLevel="0" collapsed="false">
      <c r="A3" s="84"/>
      <c r="B3" s="84" t="s">
        <v>59</v>
      </c>
      <c r="C3" s="84" t="s">
        <v>60</v>
      </c>
      <c r="D3" s="84" t="s">
        <v>61</v>
      </c>
      <c r="E3" s="84" t="s">
        <v>62</v>
      </c>
      <c r="F3" s="84" t="s">
        <v>63</v>
      </c>
      <c r="G3" s="84" t="s">
        <v>64</v>
      </c>
      <c r="H3" s="84" t="s">
        <v>65</v>
      </c>
      <c r="I3" s="84" t="s">
        <v>66</v>
      </c>
      <c r="J3" s="84" t="s">
        <v>67</v>
      </c>
      <c r="K3" s="84" t="s">
        <v>68</v>
      </c>
      <c r="L3" s="84" t="s">
        <v>14</v>
      </c>
    </row>
    <row r="4" customFormat="false" ht="22.35" hidden="false" customHeight="false" outlineLevel="0" collapsed="false">
      <c r="A4" s="85"/>
      <c r="B4" s="188" t="s">
        <v>160</v>
      </c>
      <c r="C4" s="188" t="s">
        <v>161</v>
      </c>
      <c r="D4" s="189" t="s">
        <v>162</v>
      </c>
      <c r="E4" s="189" t="s">
        <v>163</v>
      </c>
      <c r="F4" s="189" t="s">
        <v>164</v>
      </c>
      <c r="G4" s="188" t="s">
        <v>165</v>
      </c>
      <c r="H4" s="188" t="s">
        <v>166</v>
      </c>
      <c r="I4" s="188" t="s">
        <v>167</v>
      </c>
      <c r="J4" s="188" t="s">
        <v>73</v>
      </c>
      <c r="K4" s="188" t="s">
        <v>73</v>
      </c>
      <c r="L4" s="85"/>
    </row>
    <row r="5" customFormat="false" ht="15" hidden="false" customHeight="false" outlineLevel="0" collapsed="false">
      <c r="A5" s="60" t="s">
        <v>48</v>
      </c>
      <c r="B5" s="87" t="n">
        <f aca="false">SUMIFS($F13:$F34,$D13:$D34,"Staff costs",$E13:$E34,"1")</f>
        <v>7800</v>
      </c>
      <c r="C5" s="87" t="n">
        <f aca="false">SUMIFS($F13:$F34,$D13:$D34,"Staff costs",$E13:$E34,"2")</f>
        <v>0</v>
      </c>
      <c r="D5" s="89" t="n">
        <f aca="false">SUMIFS($F13:$F34,$D13:$D34,"Staff costs",$E13:$E34,"3")</f>
        <v>0</v>
      </c>
      <c r="E5" s="89" t="n">
        <f aca="false">SUMIFS($F13:$F34,$D13:$D34,"Staff costs",$E13:$E34,"4")</f>
        <v>0</v>
      </c>
      <c r="F5" s="89" t="n">
        <f aca="false">SUMIFS($F13:$F34,$D13:$D34,"Staff costs",$E13:$E34,"5")</f>
        <v>0</v>
      </c>
      <c r="G5" s="87" t="n">
        <f aca="false">SUMIFS($F13:$F34,$D13:$D34,"Staff costs",$E13:$E34,"6")</f>
        <v>0</v>
      </c>
      <c r="H5" s="87" t="n">
        <f aca="false">SUMIFS($F13:$F34,$D13:$D34,"Staff costs",$E13:$E34,"7")</f>
        <v>0</v>
      </c>
      <c r="I5" s="87" t="n">
        <f aca="false">SUMIFS($F13:$F34,$D13:$D34,"Staff costs",$E13:$E34,"8")</f>
        <v>0</v>
      </c>
      <c r="J5" s="87" t="n">
        <f aca="false">SUMIFS($F13:$F34,$D13:$D34,"Staff costs",$E13:$E34,"9")</f>
        <v>0</v>
      </c>
      <c r="K5" s="87" t="n">
        <f aca="false">SUMIFS($F13:$F34,$D13:$D34,"Staff costs",$E13:$E34,"10")</f>
        <v>0</v>
      </c>
      <c r="L5" s="87" t="n">
        <f aca="false">SUM(B5:K5)</f>
        <v>7800</v>
      </c>
    </row>
    <row r="6" customFormat="false" ht="15" hidden="false" customHeight="false" outlineLevel="0" collapsed="false">
      <c r="A6" s="60" t="s">
        <v>50</v>
      </c>
      <c r="B6" s="87" t="n">
        <f aca="false">SUMIFS($F13:$F34,$D13:$D34,"Management",$E13:$E34,"1")</f>
        <v>3000</v>
      </c>
      <c r="C6" s="87" t="n">
        <f aca="false">SUMIFS($F13:$F34,$D13:$D34,"Management",$E13:$E34,"2")</f>
        <v>0</v>
      </c>
      <c r="D6" s="87" t="n">
        <f aca="false">SUMIFS($F13:$F34,$D13:$D34,"Management",$E13:$E34,"3")</f>
        <v>0</v>
      </c>
      <c r="E6" s="87" t="n">
        <f aca="false">SUMIFS($F13:$F34,$D13:$D34,"Management",$E13:$E34,"4")</f>
        <v>0</v>
      </c>
      <c r="F6" s="87" t="n">
        <f aca="false">SUMIFS($F13:$F34,$D13:$D34,"Management",$E13:$E34,"5")</f>
        <v>0</v>
      </c>
      <c r="G6" s="87" t="n">
        <f aca="false">SUMIFS($F13:$F34,$D13:$D34,"Management",$E13:$E34,"6")</f>
        <v>0</v>
      </c>
      <c r="H6" s="87" t="n">
        <f aca="false">SUMIFS($F13:$F34,$D13:$D34,"Management",$E13:$E34,"7")</f>
        <v>0</v>
      </c>
      <c r="I6" s="87" t="n">
        <f aca="false">SUMIFS($F13:$F34,$D13:$D34,"Management",$E13:$E34,"8")</f>
        <v>0</v>
      </c>
      <c r="J6" s="87" t="n">
        <f aca="false">SUMIFS($F13:$F34,$D13:$D34,"Management",$E13:$E34,"9")</f>
        <v>0</v>
      </c>
      <c r="K6" s="87" t="n">
        <f aca="false">SUMIFS($F13:$F34,$D13:$D34,"Management",$E13:$E34,"10")</f>
        <v>0</v>
      </c>
      <c r="L6" s="87" t="n">
        <f aca="false">SUM(B6:K6)</f>
        <v>3000</v>
      </c>
    </row>
    <row r="7" customFormat="false" ht="13.8" hidden="false" customHeight="false" outlineLevel="0" collapsed="false">
      <c r="A7" s="60" t="s">
        <v>52</v>
      </c>
      <c r="B7" s="87" t="n">
        <f aca="false">SUMIFS($F13:$F34,$D13:$D34,"Research stays",$E13:$E34,"1")</f>
        <v>3660</v>
      </c>
      <c r="C7" s="87" t="n">
        <f aca="false">SUMIFS($F13:$F34,$D13:$D34,"Research stays",$E13:$E34,"2")</f>
        <v>0</v>
      </c>
      <c r="D7" s="87" t="n">
        <f aca="false">SUMIFS($F13:$F34,$D13:$D34,"Research stays",$E13:$E34,"3")</f>
        <v>2440</v>
      </c>
      <c r="E7" s="87" t="n">
        <f aca="false">SUMIFS($F13:$F34,$D13:$D34,"Research stays",$E13:$E34,"4")</f>
        <v>0</v>
      </c>
      <c r="F7" s="87" t="n">
        <f aca="false">SUMIFS($F13:$F34,$D13:$D34,"Research stays",$E13:$E34,"5")</f>
        <v>2440</v>
      </c>
      <c r="G7" s="87" t="n">
        <f aca="false">SUMIFS($F13:$F34,$D13:$D34,"Research stays",$E13:$E34,"6")</f>
        <v>0</v>
      </c>
      <c r="H7" s="87" t="n">
        <f aca="false">SUMIFS($F13:$F34,$D13:$D34,"Research stays",$E13:$E34,"2")</f>
        <v>0</v>
      </c>
      <c r="I7" s="87" t="n">
        <f aca="false">SUMIFS($F13:$F34,$D13:$D34,"Research stays",$E13:$E34,"8")</f>
        <v>0</v>
      </c>
      <c r="J7" s="87" t="n">
        <f aca="false">SUMIFS($F13:$F34,$D13:$D34,"Research stays",$E13:$E34,"9")</f>
        <v>0</v>
      </c>
      <c r="K7" s="87" t="n">
        <f aca="false">SUMIFS($F13:$F34,$D13:$D34,"Research stays",$E13:$E34,"10")</f>
        <v>0</v>
      </c>
      <c r="L7" s="87" t="n">
        <f aca="false">SUM(B7:K7)</f>
        <v>8540</v>
      </c>
    </row>
    <row r="8" customFormat="false" ht="15.75" hidden="false" customHeight="false" outlineLevel="0" collapsed="false">
      <c r="A8" s="60" t="s">
        <v>53</v>
      </c>
      <c r="B8" s="88" t="n">
        <f aca="false">SUMIFS($F13:$F34,$D13:$D34,"Meetings &amp; events",$E13:$E34,"1")</f>
        <v>1000</v>
      </c>
      <c r="C8" s="88" t="n">
        <f aca="false">SUMIFS($F13:$F34,$D13:$D34,"Meetings &amp; events",$E13:$E34,"2")</f>
        <v>0</v>
      </c>
      <c r="D8" s="88" t="n">
        <f aca="false">SUMIFS($F13:$F34,$D13:$D34,"Meetings &amp; events",$E13:$E34,"3")</f>
        <v>0</v>
      </c>
      <c r="E8" s="88" t="n">
        <f aca="false">SUMIFS($F13:$F34,$D13:$D34,"Meetings &amp; events",$E13:$E34,"4")</f>
        <v>0</v>
      </c>
      <c r="F8" s="88" t="n">
        <f aca="false">SUMIFS($F13:$F34,$D13:$D34,"Meetings &amp; events",$E13:$E34,"5")</f>
        <v>0</v>
      </c>
      <c r="G8" s="88" t="n">
        <f aca="false">SUMIFS($F13:$F34,$D13:$D34,"Meetings &amp; events",$E13:$E34,"6")</f>
        <v>0</v>
      </c>
      <c r="H8" s="88" t="n">
        <f aca="false">SUMIFS($F13:$F34,$D13:$D34,"Meetings &amp; events",$E13:$E34,"7")</f>
        <v>0</v>
      </c>
      <c r="I8" s="88" t="n">
        <f aca="false">SUMIFS($F13:$F34,$D13:$D34,"Meetings &amp; events",$E13:$E34,"8")</f>
        <v>0</v>
      </c>
      <c r="J8" s="88" t="n">
        <f aca="false">SUMIFS($F13:$F34,$D13:$D34,"Meetings &amp; events",$E13:$E34,"9")</f>
        <v>0</v>
      </c>
      <c r="K8" s="88" t="n">
        <f aca="false">SUMIFS($F13:$F34,$D13:$D34,"Meetings &amp; events",$E13:$E34,"10")</f>
        <v>0</v>
      </c>
      <c r="L8" s="88" t="n">
        <f aca="false">SUM(B8:K8)</f>
        <v>1000</v>
      </c>
    </row>
    <row r="9" customFormat="false" ht="15" hidden="false" customHeight="false" outlineLevel="0" collapsed="false">
      <c r="A9" s="70" t="s">
        <v>14</v>
      </c>
      <c r="B9" s="89" t="n">
        <f aca="false">SUM(B5:B8)</f>
        <v>15460</v>
      </c>
      <c r="C9" s="89" t="n">
        <f aca="false">SUM(C5:C8)</f>
        <v>0</v>
      </c>
      <c r="D9" s="89" t="n">
        <f aca="false">SUM(D5:D8)</f>
        <v>2440</v>
      </c>
      <c r="E9" s="89" t="n">
        <f aca="false">SUM(E5:E8)</f>
        <v>0</v>
      </c>
      <c r="F9" s="89" t="n">
        <f aca="false">SUM(F5:F8)</f>
        <v>2440</v>
      </c>
      <c r="G9" s="89" t="n">
        <f aca="false">SUM(G5:G8)</f>
        <v>0</v>
      </c>
      <c r="H9" s="89" t="n">
        <f aca="false">SUM(H5:H8)</f>
        <v>0</v>
      </c>
      <c r="I9" s="89" t="n">
        <f aca="false">SUM(I5:I8)</f>
        <v>0</v>
      </c>
      <c r="J9" s="89" t="n">
        <f aca="false">SUM(J5:J8)</f>
        <v>0</v>
      </c>
      <c r="K9" s="89" t="n">
        <f aca="false">SUM(K5:K8)</f>
        <v>0</v>
      </c>
      <c r="L9" s="89" t="n">
        <f aca="false">SUM(B9:K9)</f>
        <v>20340</v>
      </c>
    </row>
    <row r="10" customFormat="false" ht="15" hidden="false" customHeight="false" outlineLevel="0" collapsed="false">
      <c r="A10" s="74"/>
      <c r="B10" s="24"/>
      <c r="C10" s="24"/>
      <c r="D10" s="24"/>
      <c r="E10" s="24"/>
      <c r="F10" s="101"/>
    </row>
    <row r="12" customFormat="false" ht="15" hidden="false" customHeight="false" outlineLevel="0" collapsed="false">
      <c r="A12" s="84" t="s">
        <v>74</v>
      </c>
      <c r="B12" s="84" t="s">
        <v>75</v>
      </c>
      <c r="C12" s="84"/>
      <c r="D12" s="84" t="s">
        <v>76</v>
      </c>
      <c r="E12" s="84" t="s">
        <v>77</v>
      </c>
      <c r="F12" s="84" t="s">
        <v>78</v>
      </c>
      <c r="H12" s="147"/>
    </row>
    <row r="13" customFormat="false" ht="15" hidden="false" customHeight="true" outlineLevel="0" collapsed="false">
      <c r="A13" s="91" t="s">
        <v>117</v>
      </c>
      <c r="B13" s="91" t="s">
        <v>118</v>
      </c>
      <c r="C13" s="91"/>
      <c r="D13" s="92" t="s">
        <v>81</v>
      </c>
      <c r="E13" s="93" t="n">
        <v>1</v>
      </c>
      <c r="F13" s="94" t="n">
        <v>7800</v>
      </c>
    </row>
    <row r="14" customFormat="false" ht="15" hidden="false" customHeight="true" outlineLevel="0" collapsed="false">
      <c r="A14" s="115"/>
      <c r="B14" s="98"/>
      <c r="C14" s="98"/>
      <c r="D14" s="110"/>
      <c r="E14" s="111"/>
      <c r="F14" s="112"/>
    </row>
    <row r="15" customFormat="false" ht="15" hidden="false" customHeight="true" outlineLevel="0" collapsed="false">
      <c r="A15" s="115" t="s">
        <v>82</v>
      </c>
      <c r="B15" s="98" t="s">
        <v>124</v>
      </c>
      <c r="C15" s="98"/>
      <c r="D15" s="110" t="s">
        <v>84</v>
      </c>
      <c r="E15" s="111" t="n">
        <v>1</v>
      </c>
      <c r="F15" s="112" t="n">
        <v>3000</v>
      </c>
      <c r="G15" s="0" t="s">
        <v>85</v>
      </c>
    </row>
    <row r="16" customFormat="false" ht="15" hidden="false" customHeight="true" outlineLevel="0" collapsed="false">
      <c r="A16" s="115" t="s">
        <v>168</v>
      </c>
      <c r="B16" s="115" t="s">
        <v>142</v>
      </c>
      <c r="C16" s="115"/>
      <c r="D16" s="110" t="s">
        <v>93</v>
      </c>
      <c r="E16" s="111" t="n">
        <v>2</v>
      </c>
      <c r="F16" s="112"/>
      <c r="G16" s="118"/>
    </row>
    <row r="17" customFormat="false" ht="15" hidden="false" customHeight="true" outlineLevel="0" collapsed="false">
      <c r="A17" s="115" t="s">
        <v>169</v>
      </c>
      <c r="B17" s="115" t="s">
        <v>170</v>
      </c>
      <c r="C17" s="115"/>
      <c r="D17" s="110" t="s">
        <v>93</v>
      </c>
      <c r="E17" s="111" t="n">
        <v>3</v>
      </c>
      <c r="F17" s="112" t="n">
        <v>2440</v>
      </c>
      <c r="G17" s="118"/>
    </row>
    <row r="18" customFormat="false" ht="15" hidden="false" customHeight="true" outlineLevel="0" collapsed="false">
      <c r="A18" s="115" t="s">
        <v>171</v>
      </c>
      <c r="B18" s="115"/>
      <c r="C18" s="115"/>
      <c r="D18" s="110" t="s">
        <v>93</v>
      </c>
      <c r="E18" s="111" t="n">
        <v>4</v>
      </c>
      <c r="F18" s="112"/>
      <c r="G18" s="118"/>
    </row>
    <row r="19" customFormat="false" ht="15" hidden="false" customHeight="true" outlineLevel="0" collapsed="false">
      <c r="A19" s="115" t="s">
        <v>171</v>
      </c>
      <c r="B19" s="115"/>
      <c r="C19" s="115"/>
      <c r="D19" s="110" t="s">
        <v>93</v>
      </c>
      <c r="E19" s="111" t="n">
        <v>8</v>
      </c>
      <c r="F19" s="112"/>
      <c r="G19" s="118"/>
    </row>
    <row r="20" customFormat="false" ht="15" hidden="false" customHeight="true" outlineLevel="0" collapsed="false">
      <c r="A20" s="115" t="s">
        <v>171</v>
      </c>
      <c r="B20" s="115"/>
      <c r="C20" s="115"/>
      <c r="D20" s="190" t="s">
        <v>93</v>
      </c>
      <c r="E20" s="191" t="n">
        <v>7</v>
      </c>
      <c r="F20" s="112"/>
      <c r="G20" s="118"/>
      <c r="H20" s="118"/>
    </row>
    <row r="21" customFormat="false" ht="15" hidden="false" customHeight="true" outlineLevel="0" collapsed="false">
      <c r="A21" s="115" t="s">
        <v>172</v>
      </c>
      <c r="B21" s="115"/>
      <c r="C21" s="115"/>
      <c r="D21" s="110" t="s">
        <v>93</v>
      </c>
      <c r="E21" s="111" t="n">
        <v>6</v>
      </c>
      <c r="F21" s="112"/>
      <c r="G21" s="118" t="s">
        <v>173</v>
      </c>
      <c r="H21" s="118"/>
    </row>
    <row r="22" customFormat="false" ht="15" hidden="false" customHeight="true" outlineLevel="0" collapsed="false">
      <c r="A22" s="115" t="s">
        <v>174</v>
      </c>
      <c r="B22" s="115" t="s">
        <v>175</v>
      </c>
      <c r="C22" s="115"/>
      <c r="D22" s="110" t="s">
        <v>93</v>
      </c>
      <c r="E22" s="111" t="n">
        <v>5</v>
      </c>
      <c r="F22" s="112" t="n">
        <v>2440</v>
      </c>
      <c r="G22" s="118"/>
      <c r="H22" s="118"/>
    </row>
    <row r="23" customFormat="false" ht="15" hidden="false" customHeight="true" outlineLevel="0" collapsed="false">
      <c r="A23" s="115"/>
      <c r="B23" s="115"/>
      <c r="C23" s="115"/>
      <c r="D23" s="110"/>
      <c r="E23" s="111"/>
      <c r="F23" s="112"/>
      <c r="G23" s="13"/>
      <c r="J23" s="0" t="s">
        <v>96</v>
      </c>
    </row>
    <row r="24" customFormat="false" ht="15" hidden="false" customHeight="true" outlineLevel="0" collapsed="false">
      <c r="A24" s="108"/>
      <c r="B24" s="151"/>
      <c r="C24" s="151"/>
      <c r="D24" s="110"/>
      <c r="E24" s="111"/>
      <c r="F24" s="112"/>
      <c r="G24" s="13"/>
    </row>
    <row r="25" customFormat="false" ht="15" hidden="false" customHeight="false" outlineLevel="0" collapsed="false">
      <c r="A25" s="115"/>
      <c r="B25" s="192"/>
      <c r="C25" s="192"/>
      <c r="D25" s="110"/>
      <c r="E25" s="111"/>
      <c r="F25" s="112"/>
      <c r="G25" s="13"/>
    </row>
    <row r="26" customFormat="false" ht="15" hidden="false" customHeight="true" outlineLevel="0" collapsed="false">
      <c r="A26" s="115" t="s">
        <v>176</v>
      </c>
      <c r="B26" s="115" t="s">
        <v>177</v>
      </c>
      <c r="C26" s="115"/>
      <c r="D26" s="110" t="s">
        <v>93</v>
      </c>
      <c r="E26" s="111" t="n">
        <v>1</v>
      </c>
      <c r="F26" s="112" t="n">
        <v>3660</v>
      </c>
      <c r="G26" s="117"/>
    </row>
    <row r="27" customFormat="false" ht="15" hidden="false" customHeight="false" outlineLevel="0" collapsed="false">
      <c r="A27" s="91"/>
      <c r="B27" s="91"/>
      <c r="C27" s="91"/>
      <c r="D27" s="92"/>
      <c r="E27" s="93"/>
      <c r="F27" s="94"/>
    </row>
    <row r="28" customFormat="false" ht="15.75" hidden="false" customHeight="false" outlineLevel="0" collapsed="false">
      <c r="A28" s="108" t="s">
        <v>94</v>
      </c>
      <c r="B28" s="109"/>
      <c r="C28" s="109"/>
      <c r="D28" s="110" t="s">
        <v>95</v>
      </c>
      <c r="E28" s="111" t="n">
        <v>1</v>
      </c>
      <c r="F28" s="112" t="n">
        <v>1000</v>
      </c>
      <c r="H28" s="193"/>
    </row>
    <row r="29" customFormat="false" ht="13.8" hidden="false" customHeight="false" outlineLevel="0" collapsed="false">
      <c r="A29" s="47"/>
      <c r="B29" s="115"/>
      <c r="C29" s="115"/>
      <c r="D29" s="110"/>
      <c r="E29" s="111"/>
      <c r="F29" s="112"/>
      <c r="G29" s="117"/>
    </row>
    <row r="30" customFormat="false" ht="15" hidden="false" customHeight="true" outlineLevel="0" collapsed="false">
      <c r="A30" s="194"/>
      <c r="B30" s="163"/>
      <c r="C30" s="163"/>
      <c r="D30" s="195"/>
      <c r="E30" s="164"/>
      <c r="F30" s="116"/>
      <c r="G30" s="117"/>
    </row>
    <row r="31" customFormat="false" ht="15" hidden="false" customHeight="false" outlineLevel="0" collapsed="false">
      <c r="A31" s="196"/>
      <c r="B31" s="197"/>
      <c r="C31" s="197"/>
      <c r="D31" s="195"/>
      <c r="E31" s="198"/>
      <c r="F31" s="116"/>
      <c r="G31" s="117"/>
    </row>
    <row r="32" customFormat="false" ht="15" hidden="false" customHeight="false" outlineLevel="0" collapsed="false">
      <c r="A32" s="95"/>
      <c r="B32" s="91"/>
      <c r="C32" s="91"/>
      <c r="D32" s="153"/>
      <c r="E32" s="93"/>
      <c r="F32" s="94"/>
    </row>
    <row r="33" customFormat="false" ht="15" hidden="false" customHeight="false" outlineLevel="0" collapsed="false">
      <c r="A33" s="95"/>
      <c r="B33" s="91"/>
      <c r="C33" s="91"/>
      <c r="D33" s="153"/>
      <c r="E33" s="93"/>
      <c r="F33" s="94"/>
    </row>
    <row r="34" customFormat="false" ht="15" hidden="false" customHeight="false" outlineLevel="0" collapsed="false">
      <c r="A34" s="95"/>
      <c r="B34" s="91"/>
      <c r="C34" s="91"/>
      <c r="D34" s="153"/>
      <c r="E34" s="93"/>
      <c r="F34" s="94"/>
      <c r="G34" s="0" t="s">
        <v>178</v>
      </c>
    </row>
    <row r="35" customFormat="false" ht="15" hidden="false" customHeight="false" outlineLevel="0" collapsed="false">
      <c r="A35" s="127" t="s">
        <v>97</v>
      </c>
      <c r="B35" s="127"/>
      <c r="C35" s="127"/>
    </row>
    <row r="36" customFormat="false" ht="15" hidden="false" customHeight="false" outlineLevel="0" collapsed="false">
      <c r="A36" s="127" t="s">
        <v>98</v>
      </c>
      <c r="B36" s="128" t="s">
        <v>99</v>
      </c>
      <c r="C36" s="129" t="s">
        <v>100</v>
      </c>
    </row>
    <row r="39" customFormat="false" ht="21" hidden="false" customHeight="false" outlineLevel="0" collapsed="false">
      <c r="A39" s="1" t="s">
        <v>179</v>
      </c>
    </row>
    <row r="40" customFormat="false" ht="15" hidden="false" customHeight="false" outlineLevel="0" collapsed="false">
      <c r="A40" s="130"/>
      <c r="B40" s="130" t="s">
        <v>59</v>
      </c>
      <c r="C40" s="130" t="s">
        <v>60</v>
      </c>
      <c r="D40" s="130" t="s">
        <v>61</v>
      </c>
      <c r="E40" s="130" t="s">
        <v>62</v>
      </c>
      <c r="F40" s="130" t="s">
        <v>63</v>
      </c>
      <c r="G40" s="130" t="s">
        <v>64</v>
      </c>
      <c r="H40" s="130" t="s">
        <v>65</v>
      </c>
      <c r="I40" s="130" t="s">
        <v>66</v>
      </c>
      <c r="J40" s="130" t="s">
        <v>67</v>
      </c>
      <c r="K40" s="130" t="s">
        <v>68</v>
      </c>
      <c r="L40" s="130" t="s">
        <v>14</v>
      </c>
    </row>
    <row r="41" customFormat="false" ht="23.85" hidden="false" customHeight="false" outlineLevel="0" collapsed="false">
      <c r="A41" s="131"/>
      <c r="B41" s="165" t="s">
        <v>180</v>
      </c>
      <c r="C41" s="165" t="s">
        <v>161</v>
      </c>
      <c r="D41" s="165" t="s">
        <v>162</v>
      </c>
      <c r="E41" s="165" t="s">
        <v>163</v>
      </c>
      <c r="F41" s="165" t="s">
        <v>181</v>
      </c>
      <c r="G41" s="165" t="s">
        <v>182</v>
      </c>
      <c r="H41" s="165" t="s">
        <v>166</v>
      </c>
      <c r="I41" s="165" t="s">
        <v>73</v>
      </c>
      <c r="J41" s="165" t="s">
        <v>73</v>
      </c>
      <c r="K41" s="165" t="s">
        <v>73</v>
      </c>
      <c r="L41" s="131"/>
    </row>
    <row r="42" customFormat="false" ht="15" hidden="false" customHeight="false" outlineLevel="0" collapsed="false">
      <c r="A42" s="78" t="s">
        <v>81</v>
      </c>
      <c r="B42" s="87" t="n">
        <f aca="false">SUMIFS($F50:$F70,$D50:$D70,"Staff costs",$E50:$E70,"1")</f>
        <v>0</v>
      </c>
      <c r="C42" s="87" t="n">
        <f aca="false">SUMIFS($F50:$F70,$D50:$D70,"Staff costs",$E50:$E70,"2")</f>
        <v>0</v>
      </c>
      <c r="D42" s="87" t="n">
        <f aca="false">SUMIFS($F50:$F70,$D50:$D70,"Staff costs",$E50:$E70,"3")</f>
        <v>0</v>
      </c>
      <c r="E42" s="87" t="n">
        <f aca="false">SUMIFS($F50:$F70,$D50:$D70,"Staff costs",$E50:$E70,"4")</f>
        <v>0</v>
      </c>
      <c r="F42" s="87" t="n">
        <f aca="false">SUMIFS($F50:$F70,$D50:$D70,"Staff costs",$E50:$E70,"5")</f>
        <v>0</v>
      </c>
      <c r="G42" s="87" t="n">
        <f aca="false">SUMIFS($F50:$F70,$D50:$D70,"Staff costs",$E50:$E70,"6")</f>
        <v>0</v>
      </c>
      <c r="H42" s="87" t="n">
        <f aca="false">SUMIFS($F50:$F70,$D50:$D70,"Staff costs",$E50:$E70,"7")</f>
        <v>0</v>
      </c>
      <c r="I42" s="87" t="n">
        <f aca="false">SUMIFS($F50:$F70,$D50:$D70,"Staff costs",$E50:$E70,"8")</f>
        <v>0</v>
      </c>
      <c r="J42" s="87" t="n">
        <f aca="false">SUMIFS($F50:$F70,$D50:$D70,"Staff costs",$E50:$E70,"9")</f>
        <v>0</v>
      </c>
      <c r="K42" s="87" t="n">
        <f aca="false">SUMIFS($F50:$F70,$D50:$D70,"Staff costs",$E50:$E70,"10")</f>
        <v>0</v>
      </c>
      <c r="L42" s="87" t="n">
        <f aca="false">SUM(B42:K42)</f>
        <v>0</v>
      </c>
    </row>
    <row r="43" customFormat="false" ht="15" hidden="false" customHeight="false" outlineLevel="0" collapsed="false">
      <c r="A43" s="78" t="s">
        <v>50</v>
      </c>
      <c r="B43" s="87" t="n">
        <f aca="false">SUMIFS($F50:$F70,$D50:$D70,"Management",$E50:$E70,"1")</f>
        <v>0</v>
      </c>
      <c r="C43" s="87" t="n">
        <f aca="false">SUMIFS($F50:$F70,$D50:$D70,"Management",$E50:$E70,"2")</f>
        <v>0</v>
      </c>
      <c r="D43" s="87" t="n">
        <f aca="false">SUMIFS($F50:$F70,$D50:$D70,"Management",$E50:$E70,"3")</f>
        <v>0</v>
      </c>
      <c r="E43" s="87" t="n">
        <f aca="false">SUMIFS($F50:$F70,$D50:$D70,"Management",$E50:$E70,"4")</f>
        <v>0</v>
      </c>
      <c r="F43" s="87" t="n">
        <f aca="false">SUMIFS($F50:$F70,$D50:$D70,"Management",$E50:$E70,"5")</f>
        <v>0</v>
      </c>
      <c r="G43" s="87" t="n">
        <f aca="false">SUMIFS($F50:$F70,$D50:$D70,"Management",$E50:$E70,"6")</f>
        <v>0</v>
      </c>
      <c r="H43" s="87" t="n">
        <f aca="false">SUMIFS($F50:$F70,$D50:$D70,"Management",$E50:$E70,"7")</f>
        <v>0</v>
      </c>
      <c r="I43" s="87" t="n">
        <f aca="false">SUMIFS($F50:$F70,$D50:$D70,"Management",$E50:$E70,"8")</f>
        <v>0</v>
      </c>
      <c r="J43" s="87" t="n">
        <f aca="false">SUMIFS($F50:$F70,$D50:$D70,"Management",$E50:$E70,"9")</f>
        <v>0</v>
      </c>
      <c r="K43" s="87" t="n">
        <f aca="false">SUMIFS($F50:$F70,$D50:$D70,"Management",$E50:$E70,"10")</f>
        <v>0</v>
      </c>
      <c r="L43" s="87" t="n">
        <f aca="false">SUM(B43:K43)</f>
        <v>0</v>
      </c>
    </row>
    <row r="44" customFormat="false" ht="15" hidden="false" customHeight="false" outlineLevel="0" collapsed="false">
      <c r="A44" s="78" t="s">
        <v>52</v>
      </c>
      <c r="B44" s="87" t="n">
        <f aca="false">SUMIFS($F50:$F70,$D50:$D70,"Research stays",$E50:$E70,"1")</f>
        <v>0</v>
      </c>
      <c r="C44" s="87" t="n">
        <f aca="false">SUMIFS($F50:$F70,$D50:$D70,"Research stays",$E50:$E70,"2")</f>
        <v>0</v>
      </c>
      <c r="D44" s="87" t="n">
        <f aca="false">SUMIFS($F50:$F70,$D50:$D70,"Research stays",$E50:$E70,"3")</f>
        <v>0</v>
      </c>
      <c r="E44" s="87" t="n">
        <f aca="false">SUMIFS($F50:$F70,$D50:$D70,"Research stays",$E50:$E70,"4")</f>
        <v>0</v>
      </c>
      <c r="F44" s="87" t="n">
        <f aca="false">SUMIFS($F50:$F70,$D50:$D70,"Research stays",$E50:$E70,"5")</f>
        <v>0</v>
      </c>
      <c r="G44" s="87" t="n">
        <f aca="false">SUMIFS($F50:$F70,$D50:$D70,"Research stays",$E50:$E70,"6")</f>
        <v>0</v>
      </c>
      <c r="H44" s="87" t="n">
        <f aca="false">SUMIFS($F50:$F70,$D50:$D70,"Research stays",$E50:$E70,"7")</f>
        <v>0</v>
      </c>
      <c r="I44" s="87" t="n">
        <f aca="false">SUMIFS($F50:$F70,$D50:$D70,"Research stays",$E50:$E70,"8")</f>
        <v>0</v>
      </c>
      <c r="J44" s="87" t="n">
        <f aca="false">SUMIFS($F50:$F70,$D50:$D70,"Research stays",$E50:$E70,"9")</f>
        <v>0</v>
      </c>
      <c r="K44" s="87" t="n">
        <f aca="false">SUMIFS($F50:$F70,$D50:$D70,"Research stays",$E50:$E70,"10")</f>
        <v>0</v>
      </c>
      <c r="L44" s="87" t="n">
        <f aca="false">SUM(B44:K44)</f>
        <v>0</v>
      </c>
    </row>
    <row r="45" customFormat="false" ht="15.75" hidden="false" customHeight="false" outlineLevel="0" collapsed="false">
      <c r="A45" s="78" t="s">
        <v>53</v>
      </c>
      <c r="B45" s="88" t="n">
        <f aca="false">SUMIFS($F50:$F70,$D50:$D70,"Meetings &amp; events",$E50:$E70,"1")</f>
        <v>0</v>
      </c>
      <c r="C45" s="88" t="n">
        <f aca="false">SUMIFS($F50:$F70,$D50:$D70,"Meetings &amp; events",$E50:$E70,"2")</f>
        <v>0</v>
      </c>
      <c r="D45" s="88" t="n">
        <f aca="false">SUMIFS($F50:$F70,$D50:$D70,"Meetings &amp; events",$E50:$E70,"3")</f>
        <v>0</v>
      </c>
      <c r="E45" s="88" t="n">
        <f aca="false">SUMIFS($F50:$F70,$D50:$D70,"Meetings &amp; events",$E50:$E70,"4")</f>
        <v>0</v>
      </c>
      <c r="F45" s="88" t="n">
        <f aca="false">SUMIFS($F50:$F70,$D50:$D70,"Meetings &amp; events",$E50:$E70,"5")</f>
        <v>0</v>
      </c>
      <c r="G45" s="88" t="n">
        <f aca="false">SUMIFS($F50:$F70,$D50:$D70,"Meetings &amp; events",$E50:$E70,"6")</f>
        <v>0</v>
      </c>
      <c r="H45" s="88" t="n">
        <f aca="false">SUMIFS($F50:$F70,$D50:$D70,"Meetings &amp; events",$E50:$E70,"7")</f>
        <v>0</v>
      </c>
      <c r="I45" s="88" t="n">
        <f aca="false">SUMIFS($F50:$F70,$D50:$D70,"Meetings &amp; events",$E50:$E70,"8")</f>
        <v>0</v>
      </c>
      <c r="J45" s="88" t="n">
        <f aca="false">SUMIFS($F50:$F70,$D50:$D70,"Meetings &amp; events",$E50:$E70,"9")</f>
        <v>0</v>
      </c>
      <c r="K45" s="88" t="n">
        <f aca="false">SUMIFS($F50:$F70,$D50:$D70,"Meetings &amp; events",$E50:$E70,"10")</f>
        <v>0</v>
      </c>
      <c r="L45" s="88" t="n">
        <f aca="false">SUM(B45:K45)</f>
        <v>0</v>
      </c>
    </row>
    <row r="46" customFormat="false" ht="15" hidden="false" customHeight="false" outlineLevel="0" collapsed="false">
      <c r="A46" s="81" t="s">
        <v>14</v>
      </c>
      <c r="B46" s="89" t="n">
        <f aca="false">SUM(B42:B45)</f>
        <v>0</v>
      </c>
      <c r="C46" s="89" t="n">
        <f aca="false">SUM(C42:C45)</f>
        <v>0</v>
      </c>
      <c r="D46" s="89" t="n">
        <f aca="false">SUM(D42:D45)</f>
        <v>0</v>
      </c>
      <c r="E46" s="89" t="n">
        <f aca="false">SUM(E42:E45)</f>
        <v>0</v>
      </c>
      <c r="F46" s="89" t="n">
        <f aca="false">SUM(F42:F45)</f>
        <v>0</v>
      </c>
      <c r="G46" s="89" t="n">
        <f aca="false">SUM(G42:G45)</f>
        <v>0</v>
      </c>
      <c r="H46" s="89" t="n">
        <f aca="false">SUM(H42:H45)</f>
        <v>0</v>
      </c>
      <c r="I46" s="89" t="n">
        <f aca="false">SUM(I42:I45)</f>
        <v>0</v>
      </c>
      <c r="J46" s="89" t="n">
        <f aca="false">SUM(J42:J45)</f>
        <v>0</v>
      </c>
      <c r="K46" s="89" t="n">
        <f aca="false">SUM(K42:K45)</f>
        <v>0</v>
      </c>
      <c r="L46" s="89" t="n">
        <f aca="false">SUM(B46:K46)</f>
        <v>0</v>
      </c>
    </row>
    <row r="47" customFormat="false" ht="15" hidden="false" customHeight="false" outlineLevel="0" collapsed="false">
      <c r="A47" s="74"/>
      <c r="B47" s="24"/>
      <c r="C47" s="24"/>
      <c r="D47" s="24"/>
      <c r="E47" s="24"/>
      <c r="F47" s="101"/>
    </row>
    <row r="49" customFormat="false" ht="15" hidden="false" customHeight="false" outlineLevel="0" collapsed="false">
      <c r="A49" s="76" t="s">
        <v>105</v>
      </c>
      <c r="B49" s="76" t="s">
        <v>75</v>
      </c>
      <c r="C49" s="76"/>
      <c r="D49" s="76" t="s">
        <v>76</v>
      </c>
      <c r="E49" s="76" t="s">
        <v>77</v>
      </c>
      <c r="F49" s="76" t="s">
        <v>4</v>
      </c>
      <c r="G49" s="133" t="s">
        <v>106</v>
      </c>
      <c r="H49" s="133" t="s">
        <v>127</v>
      </c>
      <c r="I49" s="133" t="s">
        <v>108</v>
      </c>
      <c r="J49" s="133" t="s">
        <v>109</v>
      </c>
      <c r="K49" s="133" t="s">
        <v>110</v>
      </c>
      <c r="L49" s="133" t="s">
        <v>111</v>
      </c>
    </row>
    <row r="50" customFormat="false" ht="35.95" hidden="false" customHeight="true" outlineLevel="0" collapsed="false">
      <c r="A50" s="95"/>
      <c r="B50" s="91"/>
      <c r="C50" s="91"/>
      <c r="D50" s="92"/>
      <c r="E50" s="93"/>
      <c r="F50" s="112"/>
      <c r="G50" s="135"/>
      <c r="H50" s="135"/>
      <c r="I50" s="135"/>
      <c r="J50" s="135"/>
      <c r="K50" s="135"/>
      <c r="L50" s="166"/>
    </row>
    <row r="51" customFormat="false" ht="13.8" hidden="false" customHeight="false" outlineLevel="0" collapsed="false">
      <c r="A51" s="95"/>
      <c r="B51" s="96"/>
      <c r="C51" s="97"/>
      <c r="D51" s="92"/>
      <c r="E51" s="93"/>
      <c r="F51" s="94"/>
      <c r="G51" s="135"/>
      <c r="H51" s="135"/>
      <c r="I51" s="138"/>
      <c r="J51" s="135"/>
      <c r="K51" s="135"/>
      <c r="L51" s="136"/>
    </row>
    <row r="52" customFormat="false" ht="15" hidden="false" customHeight="true" outlineLevel="0" collapsed="false">
      <c r="A52" s="95"/>
      <c r="B52" s="91"/>
      <c r="C52" s="91"/>
      <c r="D52" s="92"/>
      <c r="E52" s="93"/>
      <c r="F52" s="112"/>
      <c r="G52" s="135"/>
      <c r="H52" s="135"/>
      <c r="I52" s="135"/>
      <c r="J52" s="135"/>
      <c r="K52" s="135"/>
      <c r="L52" s="167"/>
    </row>
    <row r="53" customFormat="false" ht="15" hidden="false" customHeight="true" outlineLevel="0" collapsed="false">
      <c r="A53" s="95"/>
      <c r="B53" s="91"/>
      <c r="C53" s="91"/>
      <c r="D53" s="92"/>
      <c r="E53" s="93"/>
      <c r="F53" s="112"/>
      <c r="G53" s="135"/>
      <c r="H53" s="135"/>
      <c r="I53" s="135"/>
      <c r="J53" s="135"/>
      <c r="K53" s="135"/>
      <c r="L53" s="168"/>
    </row>
    <row r="54" customFormat="false" ht="15" hidden="false" customHeight="false" outlineLevel="0" collapsed="false">
      <c r="A54" s="95"/>
      <c r="B54" s="91"/>
      <c r="C54" s="91"/>
      <c r="D54" s="92"/>
      <c r="E54" s="93"/>
      <c r="F54" s="112"/>
      <c r="G54" s="135"/>
      <c r="H54" s="135"/>
      <c r="I54" s="135"/>
      <c r="J54" s="135"/>
      <c r="K54" s="135"/>
      <c r="L54" s="167"/>
    </row>
    <row r="55" customFormat="false" ht="15" hidden="false" customHeight="true" outlineLevel="0" collapsed="false">
      <c r="A55" s="95"/>
      <c r="B55" s="91"/>
      <c r="C55" s="91"/>
      <c r="D55" s="92"/>
      <c r="E55" s="93"/>
      <c r="F55" s="112"/>
      <c r="G55" s="135"/>
      <c r="H55" s="135"/>
      <c r="I55" s="135"/>
      <c r="J55" s="135"/>
      <c r="K55" s="135"/>
      <c r="L55" s="167"/>
    </row>
    <row r="56" customFormat="false" ht="15" hidden="false" customHeight="false" outlineLevel="0" collapsed="false">
      <c r="A56" s="95"/>
      <c r="B56" s="96"/>
      <c r="C56" s="97"/>
      <c r="D56" s="92"/>
      <c r="E56" s="93"/>
      <c r="F56" s="94"/>
      <c r="G56" s="135"/>
      <c r="H56" s="135"/>
      <c r="I56" s="135"/>
      <c r="J56" s="135"/>
      <c r="K56" s="135"/>
      <c r="L56" s="166"/>
    </row>
    <row r="57" customFormat="false" ht="15" hidden="false" customHeight="false" outlineLevel="0" collapsed="false">
      <c r="A57" s="95"/>
      <c r="B57" s="91"/>
      <c r="C57" s="91"/>
      <c r="D57" s="92"/>
      <c r="E57" s="93"/>
      <c r="F57" s="112"/>
      <c r="G57" s="135"/>
      <c r="H57" s="135"/>
      <c r="I57" s="135"/>
      <c r="J57" s="135"/>
      <c r="K57" s="135"/>
      <c r="L57" s="136"/>
    </row>
    <row r="58" customFormat="false" ht="15" hidden="false" customHeight="false" outlineLevel="0" collapsed="false">
      <c r="A58" s="95"/>
      <c r="B58" s="91"/>
      <c r="C58" s="91"/>
      <c r="D58" s="92"/>
      <c r="E58" s="93"/>
      <c r="F58" s="94"/>
      <c r="G58" s="135"/>
      <c r="H58" s="199"/>
      <c r="I58" s="135"/>
      <c r="J58" s="135"/>
      <c r="K58" s="135"/>
      <c r="L58" s="166"/>
    </row>
    <row r="59" customFormat="false" ht="15" hidden="false" customHeight="false" outlineLevel="0" collapsed="false">
      <c r="A59" s="141"/>
      <c r="B59" s="91"/>
      <c r="C59" s="91"/>
      <c r="D59" s="92"/>
      <c r="E59" s="93"/>
      <c r="F59" s="94"/>
      <c r="G59" s="142"/>
      <c r="L59" s="136"/>
    </row>
    <row r="60" customFormat="false" ht="15" hidden="false" customHeight="false" outlineLevel="0" collapsed="false">
      <c r="A60" s="95"/>
      <c r="B60" s="91"/>
      <c r="C60" s="91"/>
      <c r="D60" s="92"/>
      <c r="E60" s="93"/>
      <c r="F60" s="94"/>
      <c r="L60" s="136"/>
    </row>
    <row r="61" customFormat="false" ht="15" hidden="false" customHeight="false" outlineLevel="0" collapsed="false">
      <c r="A61" s="95"/>
      <c r="B61" s="91"/>
      <c r="C61" s="91"/>
      <c r="D61" s="92"/>
      <c r="E61" s="93"/>
      <c r="F61" s="94"/>
      <c r="L61" s="136"/>
    </row>
    <row r="62" customFormat="false" ht="15" hidden="false" customHeight="false" outlineLevel="0" collapsed="false">
      <c r="A62" s="95"/>
      <c r="B62" s="91"/>
      <c r="C62" s="91"/>
      <c r="D62" s="153"/>
      <c r="E62" s="93"/>
      <c r="F62" s="94"/>
      <c r="L62" s="140"/>
    </row>
    <row r="63" customFormat="false" ht="15" hidden="false" customHeight="false" outlineLevel="0" collapsed="false">
      <c r="A63" s="95"/>
      <c r="B63" s="91"/>
      <c r="C63" s="91"/>
      <c r="D63" s="153"/>
      <c r="E63" s="93"/>
      <c r="F63" s="94"/>
      <c r="L63" s="140"/>
    </row>
    <row r="64" customFormat="false" ht="15" hidden="false" customHeight="false" outlineLevel="0" collapsed="false">
      <c r="A64" s="95"/>
      <c r="B64" s="91"/>
      <c r="C64" s="91"/>
      <c r="D64" s="153"/>
      <c r="E64" s="93"/>
      <c r="F64" s="94"/>
      <c r="L64" s="140"/>
    </row>
    <row r="65" customFormat="false" ht="15" hidden="false" customHeight="false" outlineLevel="0" collapsed="false">
      <c r="A65" s="95"/>
      <c r="B65" s="91"/>
      <c r="C65" s="91"/>
      <c r="D65" s="153"/>
      <c r="E65" s="93"/>
      <c r="F65" s="94"/>
      <c r="L65" s="140"/>
    </row>
    <row r="66" customFormat="false" ht="15" hidden="false" customHeight="false" outlineLevel="0" collapsed="false">
      <c r="A66" s="95"/>
      <c r="B66" s="91"/>
      <c r="C66" s="91"/>
      <c r="D66" s="153"/>
      <c r="E66" s="93"/>
      <c r="F66" s="94"/>
      <c r="L66" s="140"/>
    </row>
    <row r="67" customFormat="false" ht="15" hidden="false" customHeight="false" outlineLevel="0" collapsed="false">
      <c r="A67" s="95"/>
      <c r="B67" s="91"/>
      <c r="C67" s="91"/>
      <c r="D67" s="153"/>
      <c r="E67" s="93"/>
      <c r="F67" s="94"/>
      <c r="L67" s="140"/>
    </row>
    <row r="68" customFormat="false" ht="15" hidden="false" customHeight="false" outlineLevel="0" collapsed="false">
      <c r="A68" s="95"/>
      <c r="B68" s="91"/>
      <c r="C68" s="91"/>
      <c r="D68" s="153"/>
      <c r="E68" s="93"/>
      <c r="F68" s="94"/>
      <c r="L68" s="140"/>
    </row>
    <row r="69" customFormat="false" ht="15" hidden="false" customHeight="false" outlineLevel="0" collapsed="false">
      <c r="A69" s="95"/>
      <c r="B69" s="91"/>
      <c r="C69" s="91"/>
      <c r="D69" s="153"/>
      <c r="E69" s="93"/>
      <c r="F69" s="94"/>
      <c r="L69" s="140"/>
    </row>
    <row r="70" customFormat="false" ht="15" hidden="false" customHeight="false" outlineLevel="0" collapsed="false">
      <c r="A70" s="95"/>
      <c r="B70" s="91"/>
      <c r="C70" s="91"/>
      <c r="D70" s="153"/>
      <c r="E70" s="93"/>
      <c r="F70" s="94"/>
      <c r="L70" s="140"/>
    </row>
  </sheetData>
  <mergeCells count="43"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B50:C50"/>
    <mergeCell ref="B52:C52"/>
    <mergeCell ref="B53:C53"/>
    <mergeCell ref="B54:C54"/>
    <mergeCell ref="B55:C55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</mergeCells>
  <dataValidations count="2">
    <dataValidation allowBlank="true" operator="equal" showDropDown="false" showErrorMessage="true" showInputMessage="true" sqref="D13:D34 D50:D70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13:E34 E50:E70" type="list">
      <formula1>"1,2,3,4,5,6,7,8,9,10"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655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5" activeCellId="0" sqref="H25"/>
    </sheetView>
  </sheetViews>
  <sheetFormatPr defaultRowHeight="15" zeroHeight="false" outlineLevelRow="0" outlineLevelCol="0"/>
  <cols>
    <col collapsed="false" customWidth="true" hidden="false" outlineLevel="0" max="1" min="1" style="0" width="32.42"/>
    <col collapsed="false" customWidth="true" hidden="false" outlineLevel="0" max="4" min="2" style="0" width="18.71"/>
    <col collapsed="false" customWidth="true" hidden="false" outlineLevel="0" max="5" min="5" style="0" width="19.42"/>
    <col collapsed="false" customWidth="true" hidden="false" outlineLevel="0" max="6" min="6" style="0" width="17"/>
    <col collapsed="false" customWidth="true" hidden="false" outlineLevel="0" max="7" min="7" style="0" width="16.41"/>
    <col collapsed="false" customWidth="true" hidden="false" outlineLevel="0" max="8" min="8" style="0" width="16.57"/>
    <col collapsed="false" customWidth="true" hidden="false" outlineLevel="0" max="9" min="9" style="0" width="17.29"/>
    <col collapsed="false" customWidth="true" hidden="false" outlineLevel="0" max="10" min="10" style="0" width="16"/>
    <col collapsed="false" customWidth="true" hidden="false" outlineLevel="0" max="11" min="11" style="0" width="15.15"/>
    <col collapsed="false" customWidth="true" hidden="false" outlineLevel="0" max="1025" min="12" style="0" width="10.65"/>
  </cols>
  <sheetData>
    <row r="1" customFormat="false" ht="15" hidden="false" customHeight="false" outlineLevel="0" collapsed="false">
      <c r="G1" s="83"/>
    </row>
    <row r="2" customFormat="false" ht="21" hidden="false" customHeight="false" outlineLevel="0" collapsed="false">
      <c r="A2" s="1" t="s">
        <v>183</v>
      </c>
    </row>
    <row r="3" customFormat="false" ht="15" hidden="false" customHeight="false" outlineLevel="0" collapsed="false">
      <c r="A3" s="84"/>
      <c r="B3" s="84" t="s">
        <v>59</v>
      </c>
      <c r="C3" s="84" t="s">
        <v>60</v>
      </c>
      <c r="D3" s="84" t="s">
        <v>61</v>
      </c>
      <c r="E3" s="84" t="s">
        <v>62</v>
      </c>
      <c r="F3" s="200" t="s">
        <v>63</v>
      </c>
      <c r="G3" s="200" t="s">
        <v>64</v>
      </c>
      <c r="H3" s="84" t="s">
        <v>65</v>
      </c>
      <c r="I3" s="84" t="s">
        <v>66</v>
      </c>
      <c r="J3" s="84" t="s">
        <v>67</v>
      </c>
      <c r="K3" s="84" t="s">
        <v>68</v>
      </c>
      <c r="L3" s="84" t="s">
        <v>14</v>
      </c>
    </row>
    <row r="4" customFormat="false" ht="23.85" hidden="false" customHeight="false" outlineLevel="0" collapsed="false">
      <c r="A4" s="85"/>
      <c r="B4" s="85" t="s">
        <v>184</v>
      </c>
      <c r="C4" s="85" t="s">
        <v>161</v>
      </c>
      <c r="D4" s="85" t="s">
        <v>185</v>
      </c>
      <c r="E4" s="201" t="s">
        <v>186</v>
      </c>
      <c r="F4" s="202" t="s">
        <v>187</v>
      </c>
      <c r="G4" s="203" t="s">
        <v>188</v>
      </c>
      <c r="H4" s="146" t="s">
        <v>73</v>
      </c>
      <c r="I4" s="146" t="s">
        <v>73</v>
      </c>
      <c r="J4" s="146" t="s">
        <v>73</v>
      </c>
      <c r="K4" s="146" t="s">
        <v>73</v>
      </c>
      <c r="L4" s="85"/>
    </row>
    <row r="5" customFormat="false" ht="15" hidden="false" customHeight="false" outlineLevel="0" collapsed="false">
      <c r="A5" s="60" t="s">
        <v>48</v>
      </c>
      <c r="B5" s="87" t="n">
        <f aca="false">SUMIFS($F13:$F28,$D13:$D28,"Staff costs",$E13:$E28,"1")</f>
        <v>7800</v>
      </c>
      <c r="C5" s="87" t="n">
        <f aca="false">SUMIFS($F13:$F28,$D13:$D28,"Staff costs",$E13:$E28,"2")</f>
        <v>0</v>
      </c>
      <c r="D5" s="87" t="n">
        <f aca="false">SUMIFS($F13:$F28,$D13:$D28,"Staff costs",$E13:$E28,"3")</f>
        <v>0</v>
      </c>
      <c r="E5" s="87" t="n">
        <f aca="false">SUMIFS($F13:$F28,$D13:$D28,"Staff costs",$E13:$E28,"4")</f>
        <v>0</v>
      </c>
      <c r="F5" s="87" t="n">
        <f aca="false">SUMIFS($F13:$F28,$D13:$D28,"Staff costs",$E13:$E28,"5")</f>
        <v>0</v>
      </c>
      <c r="G5" s="87" t="n">
        <f aca="false">SUMIFS($F13:$F28,$D13:$D28,"Staff costs",$E13:$E28,"6")</f>
        <v>0</v>
      </c>
      <c r="H5" s="87" t="n">
        <f aca="false">SUMIFS($F13:$F28,$D13:$D28,"Staff costs",$E13:$E28,"7")</f>
        <v>0</v>
      </c>
      <c r="I5" s="87" t="n">
        <f aca="false">SUMIFS($F13:$F28,$D13:$D28,"Staff costs",$E13:$E28,"8")</f>
        <v>0</v>
      </c>
      <c r="J5" s="87" t="n">
        <f aca="false">SUMIFS($F13:$F28,$D13:$D28,"Staff costs",$E13:$E28,"9")</f>
        <v>0</v>
      </c>
      <c r="K5" s="87" t="n">
        <f aca="false">SUMIFS($F13:$F28,$D13:$D28,"Staff costs",$E13:$E28,"10")</f>
        <v>0</v>
      </c>
      <c r="L5" s="87" t="n">
        <f aca="false">SUM(B5:K5)</f>
        <v>7800</v>
      </c>
    </row>
    <row r="6" customFormat="false" ht="15" hidden="false" customHeight="false" outlineLevel="0" collapsed="false">
      <c r="A6" s="60" t="s">
        <v>50</v>
      </c>
      <c r="B6" s="87" t="n">
        <f aca="false">SUMIFS($F13:$F28,$D13:$D28,"Management",$E13:$E28,"1")</f>
        <v>3000</v>
      </c>
      <c r="C6" s="87" t="n">
        <f aca="false">SUMIFS($F13:$F28,$D13:$D28,"Management",$E13:$E28,"2")</f>
        <v>0</v>
      </c>
      <c r="D6" s="87" t="n">
        <f aca="false">SUMIFS($F13:$F28,$D13:$D28,"Management",$E13:$E28,"3")</f>
        <v>0</v>
      </c>
      <c r="E6" s="87" t="n">
        <f aca="false">SUMIFS($F13:$F28,$D13:$D28,"Management",$E13:$E28,"4")</f>
        <v>0</v>
      </c>
      <c r="F6" s="87" t="n">
        <f aca="false">SUMIFS($F13:$F28,$D13:$D28,"Management",$E13:$E28,"5")</f>
        <v>0</v>
      </c>
      <c r="G6" s="87" t="n">
        <f aca="false">SUMIFS($F13:$F28,$D13:$D28,"Management",$E13:$E28,"6")</f>
        <v>0</v>
      </c>
      <c r="H6" s="87" t="n">
        <f aca="false">SUMIFS($F13:$F28,$D13:$D28,"Management",$E13:$E28,"7")</f>
        <v>0</v>
      </c>
      <c r="I6" s="87" t="n">
        <f aca="false">SUMIFS($F13:$F28,$D13:$D28,"Management",$E13:$E28,"8")</f>
        <v>0</v>
      </c>
      <c r="J6" s="87" t="n">
        <f aca="false">SUMIFS($F13:$F28,$D13:$D28,"Management",$E13:$E28,"9")</f>
        <v>0</v>
      </c>
      <c r="K6" s="87" t="n">
        <f aca="false">SUMIFS($F13:$F28,$D13:$D28,"Management",$E13:$E28,"10")</f>
        <v>0</v>
      </c>
      <c r="L6" s="87" t="n">
        <f aca="false">SUM(B6:K6)</f>
        <v>3000</v>
      </c>
    </row>
    <row r="7" customFormat="false" ht="15" hidden="false" customHeight="false" outlineLevel="0" collapsed="false">
      <c r="A7" s="60" t="s">
        <v>52</v>
      </c>
      <c r="B7" s="87" t="n">
        <f aca="false">SUMIFS($F13:$F28,$D13:$D28,"Research stays",$E13:$E28,"1")</f>
        <v>4880</v>
      </c>
      <c r="C7" s="87" t="n">
        <f aca="false">SUMIFS($F13:$F28,$D13:$D28,"Research stays",$E13:$E28,"2")</f>
        <v>2440</v>
      </c>
      <c r="D7" s="87" t="n">
        <f aca="false">SUMIFS($F13:$F28,$D13:$D28,"Research stays",$E13:$E28,"3")</f>
        <v>0</v>
      </c>
      <c r="E7" s="87" t="n">
        <f aca="false">SUMIFS($F13:$F28,$D13:$D28,"Research stays",$E13:$E28,"4")</f>
        <v>2440</v>
      </c>
      <c r="F7" s="87" t="n">
        <f aca="false">SUMIFS($F13:$F28,$D13:$D28,"Research stays",$E13:$E28,"5")</f>
        <v>2440</v>
      </c>
      <c r="G7" s="87" t="n">
        <f aca="false">SUMIFS($F13:$F28,$D13:$D28,"Research stays",$E13:$E28,"6")</f>
        <v>2440</v>
      </c>
      <c r="H7" s="87" t="n">
        <f aca="false">SUMIFS($F13:$F28,$D13:$D28,"Research stays",$E13:$E28,"7")</f>
        <v>0</v>
      </c>
      <c r="I7" s="87" t="n">
        <f aca="false">SUMIFS($F13:$F28,$D13:$D28,"Research stays",$E13:$E28,"8")</f>
        <v>0</v>
      </c>
      <c r="J7" s="87" t="n">
        <f aca="false">SUMIFS($F13:$F28,$D13:$D28,"Research stays",$E13:$E28,"9")</f>
        <v>0</v>
      </c>
      <c r="K7" s="87" t="n">
        <f aca="false">SUMIFS($F13:$F28,$D13:$D28,"Research stays",$E13:$E28,"10")</f>
        <v>0</v>
      </c>
      <c r="L7" s="87" t="n">
        <f aca="false">SUM(B7:K7)</f>
        <v>14640</v>
      </c>
    </row>
    <row r="8" customFormat="false" ht="15.75" hidden="false" customHeight="false" outlineLevel="0" collapsed="false">
      <c r="A8" s="60" t="s">
        <v>53</v>
      </c>
      <c r="B8" s="88" t="n">
        <f aca="false">SUMIFS($F13:$F28,$D13:$D28,"Meetings &amp; events",$E13:$E28,"1")</f>
        <v>1000</v>
      </c>
      <c r="C8" s="88" t="n">
        <f aca="false">SUMIFS($F13:$F28,$D13:$D28,"Meetings &amp; events",$E13:$E28,"2")</f>
        <v>0</v>
      </c>
      <c r="D8" s="88" t="n">
        <f aca="false">SUMIFS($F13:$F28,$D13:$D28,"Meetings &amp; events",$E13:$E28,"3")</f>
        <v>0</v>
      </c>
      <c r="E8" s="88" t="n">
        <f aca="false">SUMIFS($F13:$F28,$D13:$D28,"Meetings &amp; events",$E13:$E28,"4")</f>
        <v>0</v>
      </c>
      <c r="F8" s="88" t="n">
        <f aca="false">SUMIFS($F13:$F28,$D13:$D28,"Meetings &amp; events",$E13:$E28,"5")</f>
        <v>0</v>
      </c>
      <c r="G8" s="88" t="n">
        <f aca="false">SUMIFS($F13:$F28,$D13:$D28,"Meetings &amp; events",$E13:$E28,"6")</f>
        <v>0</v>
      </c>
      <c r="H8" s="88" t="n">
        <f aca="false">SUMIFS($F13:$F28,$D13:$D28,"Meetings &amp; events",$E13:$E28,"7")</f>
        <v>0</v>
      </c>
      <c r="I8" s="88" t="n">
        <f aca="false">SUMIFS($F13:$F28,$D13:$D28,"Meetings &amp; events",$E13:$E28,"8")</f>
        <v>0</v>
      </c>
      <c r="J8" s="88" t="n">
        <f aca="false">SUMIFS($F13:$F28,$D13:$D28,"Meetings &amp; events",$E13:$E28,"9")</f>
        <v>0</v>
      </c>
      <c r="K8" s="88" t="n">
        <f aca="false">SUMIFS($F13:$F28,$D13:$D28,"Meetings &amp; events",$E13:$E28,"10")</f>
        <v>0</v>
      </c>
      <c r="L8" s="88" t="n">
        <f aca="false">SUM(B8:K8)</f>
        <v>1000</v>
      </c>
    </row>
    <row r="9" customFormat="false" ht="15" hidden="false" customHeight="false" outlineLevel="0" collapsed="false">
      <c r="A9" s="70" t="s">
        <v>14</v>
      </c>
      <c r="B9" s="89" t="n">
        <f aca="false">SUM(B5:B8)</f>
        <v>16680</v>
      </c>
      <c r="C9" s="89" t="n">
        <f aca="false">SUM(C5:C8)</f>
        <v>2440</v>
      </c>
      <c r="D9" s="89" t="n">
        <f aca="false">SUM(D5:D8)</f>
        <v>0</v>
      </c>
      <c r="E9" s="89" t="n">
        <f aca="false">SUM(E5:E8)</f>
        <v>2440</v>
      </c>
      <c r="F9" s="89" t="n">
        <f aca="false">SUM(F5:F8)</f>
        <v>2440</v>
      </c>
      <c r="G9" s="89" t="n">
        <f aca="false">SUM(G5:G8)</f>
        <v>2440</v>
      </c>
      <c r="H9" s="89" t="n">
        <f aca="false">SUM(H5:H8)</f>
        <v>0</v>
      </c>
      <c r="I9" s="89" t="n">
        <f aca="false">SUM(I5:I8)</f>
        <v>0</v>
      </c>
      <c r="J9" s="89" t="n">
        <f aca="false">SUM(J5:J8)</f>
        <v>0</v>
      </c>
      <c r="K9" s="89" t="n">
        <f aca="false">SUM(K5:K8)</f>
        <v>0</v>
      </c>
      <c r="L9" s="89" t="n">
        <f aca="false">SUM(B9:K9)</f>
        <v>26440</v>
      </c>
    </row>
    <row r="10" customFormat="false" ht="15" hidden="false" customHeight="false" outlineLevel="0" collapsed="false">
      <c r="A10" s="74"/>
      <c r="B10" s="24"/>
      <c r="C10" s="24"/>
      <c r="D10" s="24"/>
      <c r="E10" s="24"/>
      <c r="F10" s="101"/>
    </row>
    <row r="12" customFormat="false" ht="15" hidden="false" customHeight="false" outlineLevel="0" collapsed="false">
      <c r="A12" s="57" t="s">
        <v>74</v>
      </c>
      <c r="B12" s="57" t="s">
        <v>75</v>
      </c>
      <c r="C12" s="57"/>
      <c r="D12" s="57" t="s">
        <v>76</v>
      </c>
      <c r="E12" s="57" t="s">
        <v>77</v>
      </c>
      <c r="F12" s="57" t="s">
        <v>78</v>
      </c>
      <c r="H12" s="147"/>
    </row>
    <row r="13" customFormat="false" ht="15" hidden="false" customHeight="true" outlineLevel="0" collapsed="false">
      <c r="A13" s="204" t="s">
        <v>117</v>
      </c>
      <c r="B13" s="98" t="s">
        <v>118</v>
      </c>
      <c r="C13" s="98"/>
      <c r="D13" s="205" t="s">
        <v>81</v>
      </c>
      <c r="E13" s="206" t="n">
        <v>1</v>
      </c>
      <c r="F13" s="10" t="n">
        <v>7800</v>
      </c>
    </row>
    <row r="14" customFormat="false" ht="15" hidden="false" customHeight="false" outlineLevel="0" collapsed="false">
      <c r="A14" s="207"/>
      <c r="B14" s="98"/>
      <c r="C14" s="98"/>
      <c r="D14" s="205"/>
      <c r="E14" s="206"/>
      <c r="F14" s="10"/>
    </row>
    <row r="15" customFormat="false" ht="15" hidden="false" customHeight="true" outlineLevel="0" collapsed="false">
      <c r="A15" s="204" t="s">
        <v>82</v>
      </c>
      <c r="B15" s="98" t="s">
        <v>124</v>
      </c>
      <c r="C15" s="98"/>
      <c r="D15" s="205" t="s">
        <v>84</v>
      </c>
      <c r="E15" s="206" t="n">
        <v>1</v>
      </c>
      <c r="F15" s="10" t="n">
        <v>3000</v>
      </c>
      <c r="G15" s="0" t="s">
        <v>85</v>
      </c>
    </row>
    <row r="16" customFormat="false" ht="15" hidden="false" customHeight="true" outlineLevel="0" collapsed="false">
      <c r="A16" s="109" t="s">
        <v>189</v>
      </c>
      <c r="B16" s="208" t="s">
        <v>190</v>
      </c>
      <c r="C16" s="208"/>
      <c r="D16" s="209" t="s">
        <v>93</v>
      </c>
      <c r="E16" s="210" t="n">
        <v>1</v>
      </c>
      <c r="F16" s="211" t="n">
        <v>2440</v>
      </c>
      <c r="G16" s="13" t="s">
        <v>191</v>
      </c>
    </row>
    <row r="17" customFormat="false" ht="15" hidden="false" customHeight="true" outlineLevel="0" collapsed="false">
      <c r="A17" s="109" t="s">
        <v>189</v>
      </c>
      <c r="B17" s="208" t="s">
        <v>190</v>
      </c>
      <c r="C17" s="208"/>
      <c r="D17" s="209" t="s">
        <v>93</v>
      </c>
      <c r="E17" s="210" t="n">
        <v>2</v>
      </c>
      <c r="F17" s="211" t="n">
        <v>2440</v>
      </c>
      <c r="G17" s="13" t="s">
        <v>191</v>
      </c>
    </row>
    <row r="18" customFormat="false" ht="15" hidden="false" customHeight="true" outlineLevel="0" collapsed="false">
      <c r="A18" s="109" t="s">
        <v>189</v>
      </c>
      <c r="B18" s="208" t="s">
        <v>190</v>
      </c>
      <c r="C18" s="208"/>
      <c r="D18" s="209" t="s">
        <v>93</v>
      </c>
      <c r="E18" s="210" t="n">
        <v>6</v>
      </c>
      <c r="F18" s="211" t="n">
        <v>2440</v>
      </c>
      <c r="G18" s="117"/>
    </row>
    <row r="19" customFormat="false" ht="15" hidden="false" customHeight="true" outlineLevel="0" collapsed="false">
      <c r="A19" s="109" t="s">
        <v>192</v>
      </c>
      <c r="B19" s="208" t="s">
        <v>190</v>
      </c>
      <c r="C19" s="208"/>
      <c r="D19" s="209" t="s">
        <v>93</v>
      </c>
      <c r="E19" s="210" t="n">
        <v>1</v>
      </c>
      <c r="F19" s="212" t="n">
        <v>2440</v>
      </c>
      <c r="G19" s="117"/>
    </row>
    <row r="20" customFormat="false" ht="15" hidden="false" customHeight="true" outlineLevel="0" collapsed="false">
      <c r="A20" s="109" t="s">
        <v>193</v>
      </c>
      <c r="B20" s="208" t="s">
        <v>190</v>
      </c>
      <c r="C20" s="208"/>
      <c r="D20" s="209" t="s">
        <v>93</v>
      </c>
      <c r="E20" s="210" t="n">
        <v>4</v>
      </c>
      <c r="F20" s="211" t="n">
        <v>2440</v>
      </c>
      <c r="G20" s="117"/>
    </row>
    <row r="21" customFormat="false" ht="15" hidden="false" customHeight="true" outlineLevel="0" collapsed="false">
      <c r="A21" s="109" t="s">
        <v>194</v>
      </c>
      <c r="B21" s="208" t="s">
        <v>195</v>
      </c>
      <c r="C21" s="208"/>
      <c r="D21" s="209" t="s">
        <v>93</v>
      </c>
      <c r="E21" s="210" t="n">
        <v>5</v>
      </c>
      <c r="F21" s="211" t="n">
        <v>2440</v>
      </c>
      <c r="G21" s="13" t="s">
        <v>191</v>
      </c>
    </row>
    <row r="22" customFormat="false" ht="15" hidden="false" customHeight="true" outlineLevel="0" collapsed="false">
      <c r="A22" s="115"/>
      <c r="B22" s="115"/>
      <c r="C22" s="115"/>
      <c r="D22" s="110"/>
      <c r="E22" s="111"/>
      <c r="F22" s="112"/>
      <c r="G22" s="117"/>
    </row>
    <row r="23" s="218" customFormat="true" ht="15" hidden="false" customHeight="true" outlineLevel="0" collapsed="false">
      <c r="A23" s="213"/>
      <c r="B23" s="214"/>
      <c r="C23" s="214"/>
      <c r="D23" s="215"/>
      <c r="E23" s="216"/>
      <c r="F23" s="217"/>
    </row>
    <row r="24" customFormat="false" ht="15" hidden="false" customHeight="true" outlineLevel="0" collapsed="false">
      <c r="A24" s="154"/>
      <c r="B24" s="219"/>
      <c r="C24" s="220"/>
      <c r="D24" s="221"/>
      <c r="E24" s="222"/>
      <c r="F24" s="223"/>
      <c r="G24" s="117"/>
    </row>
    <row r="25" customFormat="false" ht="15" hidden="false" customHeight="true" outlineLevel="0" collapsed="false">
      <c r="A25" s="224" t="s">
        <v>196</v>
      </c>
      <c r="B25" s="98" t="s">
        <v>197</v>
      </c>
      <c r="C25" s="98"/>
      <c r="D25" s="205" t="s">
        <v>95</v>
      </c>
      <c r="E25" s="206" t="n">
        <v>1</v>
      </c>
      <c r="F25" s="10" t="n">
        <v>1000</v>
      </c>
      <c r="G25" s="117"/>
    </row>
    <row r="26" customFormat="false" ht="15" hidden="false" customHeight="false" outlineLevel="0" collapsed="false">
      <c r="A26" s="225"/>
      <c r="B26" s="98"/>
      <c r="C26" s="98"/>
      <c r="D26" s="205"/>
      <c r="E26" s="206"/>
      <c r="F26" s="10"/>
      <c r="G26" s="117"/>
    </row>
    <row r="27" customFormat="false" ht="15" hidden="false" customHeight="false" outlineLevel="0" collapsed="false">
      <c r="A27" s="95"/>
      <c r="B27" s="91"/>
      <c r="C27" s="91"/>
      <c r="D27" s="153"/>
      <c r="E27" s="93"/>
      <c r="F27" s="94"/>
    </row>
    <row r="28" customFormat="false" ht="15" hidden="false" customHeight="false" outlineLevel="0" collapsed="false">
      <c r="A28" s="95"/>
      <c r="B28" s="91"/>
      <c r="C28" s="91"/>
      <c r="D28" s="153"/>
      <c r="E28" s="93"/>
      <c r="F28" s="94"/>
    </row>
    <row r="29" customFormat="false" ht="15" hidden="false" customHeight="false" outlineLevel="0" collapsed="false">
      <c r="A29" s="127" t="s">
        <v>97</v>
      </c>
      <c r="B29" s="127"/>
      <c r="C29" s="127"/>
    </row>
    <row r="30" customFormat="false" ht="15" hidden="false" customHeight="false" outlineLevel="0" collapsed="false">
      <c r="A30" s="127" t="s">
        <v>98</v>
      </c>
      <c r="B30" s="128" t="s">
        <v>99</v>
      </c>
      <c r="C30" s="129" t="s">
        <v>100</v>
      </c>
    </row>
    <row r="33" customFormat="false" ht="21" hidden="false" customHeight="false" outlineLevel="0" collapsed="false">
      <c r="A33" s="1" t="s">
        <v>198</v>
      </c>
    </row>
    <row r="34" customFormat="false" ht="13.8" hidden="false" customHeight="false" outlineLevel="0" collapsed="false">
      <c r="A34" s="130"/>
      <c r="B34" s="130" t="s">
        <v>59</v>
      </c>
      <c r="C34" s="130" t="s">
        <v>60</v>
      </c>
      <c r="D34" s="130" t="s">
        <v>61</v>
      </c>
      <c r="E34" s="130" t="s">
        <v>62</v>
      </c>
      <c r="F34" s="130" t="s">
        <v>63</v>
      </c>
      <c r="G34" s="130" t="s">
        <v>64</v>
      </c>
      <c r="H34" s="130" t="s">
        <v>65</v>
      </c>
      <c r="I34" s="130" t="s">
        <v>66</v>
      </c>
      <c r="J34" s="130" t="s">
        <v>67</v>
      </c>
      <c r="K34" s="130" t="s">
        <v>14</v>
      </c>
    </row>
    <row r="35" customFormat="false" ht="22.35" hidden="false" customHeight="false" outlineLevel="0" collapsed="false">
      <c r="A35" s="131"/>
      <c r="B35" s="226" t="s">
        <v>184</v>
      </c>
      <c r="C35" s="226" t="s">
        <v>161</v>
      </c>
      <c r="D35" s="226" t="s">
        <v>185</v>
      </c>
      <c r="E35" s="227" t="s">
        <v>186</v>
      </c>
      <c r="F35" s="226" t="s">
        <v>187</v>
      </c>
      <c r="G35" s="226" t="s">
        <v>199</v>
      </c>
      <c r="H35" s="226" t="s">
        <v>73</v>
      </c>
      <c r="I35" s="226" t="s">
        <v>73</v>
      </c>
      <c r="J35" s="226" t="s">
        <v>73</v>
      </c>
      <c r="K35" s="131"/>
    </row>
    <row r="36" customFormat="false" ht="13.8" hidden="false" customHeight="false" outlineLevel="0" collapsed="false">
      <c r="A36" s="78" t="s">
        <v>81</v>
      </c>
      <c r="B36" s="87" t="n">
        <f aca="false">SUMIFS($F44:$F64,$D44:$D64,"Staff costs",$E44:$E64,"1")</f>
        <v>0</v>
      </c>
      <c r="C36" s="87" t="n">
        <f aca="false">SUMIFS($F44:$F64,$D44:$D64,"Staff costs",$E44:$E64,"2")</f>
        <v>0</v>
      </c>
      <c r="D36" s="87" t="n">
        <f aca="false">SUMIFS($F44:$F64,$D44:$D64,"Staff costs",$E44:$E64,"3")</f>
        <v>0</v>
      </c>
      <c r="E36" s="87" t="n">
        <f aca="false">SUMIFS($F44:$F64,$D44:$D64,"Staff costs",$E44:$E64,"4")</f>
        <v>0</v>
      </c>
      <c r="F36" s="87" t="n">
        <f aca="false">SUMIFS($F44:$F64,$D44:$D64,"Staff costs",$E44:$E64,"6")</f>
        <v>0</v>
      </c>
      <c r="G36" s="87" t="n">
        <f aca="false">SUMIFS($F44:$F64,$D44:$D64,"Staff costs",$E44:$E64,"7")</f>
        <v>0</v>
      </c>
      <c r="H36" s="87" t="n">
        <f aca="false">SUMIFS($F44:$F64,$D44:$D64,"Staff costs",$E44:$E64,"8")</f>
        <v>0</v>
      </c>
      <c r="I36" s="87" t="n">
        <f aca="false">SUMIFS($F44:$F64,$D44:$D64,"Staff costs",$E44:$E64,"9")</f>
        <v>0</v>
      </c>
      <c r="J36" s="87" t="n">
        <f aca="false">SUMIFS($F44:$F64,$D44:$D64,"Staff costs",$E44:$E64,"10")</f>
        <v>0</v>
      </c>
      <c r="K36" s="87" t="n">
        <f aca="false">SUM(B36:J36)</f>
        <v>0</v>
      </c>
    </row>
    <row r="37" customFormat="false" ht="13.8" hidden="false" customHeight="false" outlineLevel="0" collapsed="false">
      <c r="A37" s="78" t="s">
        <v>50</v>
      </c>
      <c r="B37" s="87" t="n">
        <f aca="false">SUMIFS($F44:$F64,$D44:$D64,"Management",$E44:$E64,"1")</f>
        <v>0</v>
      </c>
      <c r="C37" s="87" t="n">
        <f aca="false">SUMIFS($F44:$F64,$D44:$D64,"Management",$E44:$E64,"2")</f>
        <v>0</v>
      </c>
      <c r="D37" s="87" t="n">
        <f aca="false">SUMIFS($F44:$F64,$D44:$D64,"Management",$E44:$E64,"3")</f>
        <v>0</v>
      </c>
      <c r="E37" s="87" t="n">
        <f aca="false">SUMIFS($F44:$F64,$D44:$D64,"Management",$E44:$E64,"4")</f>
        <v>0</v>
      </c>
      <c r="F37" s="87" t="n">
        <f aca="false">SUMIFS($F44:$F64,$D44:$D64,"Management",$E44:$E64,"6")</f>
        <v>0</v>
      </c>
      <c r="G37" s="87" t="n">
        <f aca="false">SUMIFS($F44:$F64,$D44:$D64,"Management",$E44:$E64,"7")</f>
        <v>0</v>
      </c>
      <c r="H37" s="87" t="n">
        <f aca="false">SUMIFS($F44:$F64,$D44:$D64,"Management",$E44:$E64,"8")</f>
        <v>0</v>
      </c>
      <c r="I37" s="87" t="n">
        <f aca="false">SUMIFS($F44:$F64,$D44:$D64,"Management",$E44:$E64,"9")</f>
        <v>0</v>
      </c>
      <c r="J37" s="87" t="n">
        <f aca="false">SUMIFS($F44:$F64,$D44:$D64,"Management",$E44:$E64,"10")</f>
        <v>0</v>
      </c>
      <c r="K37" s="87" t="n">
        <f aca="false">SUM(B37:J37)</f>
        <v>0</v>
      </c>
    </row>
    <row r="38" customFormat="false" ht="13.8" hidden="false" customHeight="false" outlineLevel="0" collapsed="false">
      <c r="A38" s="78" t="s">
        <v>52</v>
      </c>
      <c r="B38" s="87" t="n">
        <f aca="false">SUMIFS($F44:$F64,$D44:$D64,"Research stays",$E44:$E64,"1")</f>
        <v>0</v>
      </c>
      <c r="C38" s="87" t="n">
        <f aca="false">SUMIFS($F44:$F64,$D44:$D64,"Research stays",$E44:$E64,"2")</f>
        <v>0</v>
      </c>
      <c r="D38" s="87" t="n">
        <f aca="false">SUMIFS($F44:$F64,$D44:$D64,"Research stays",$E44:$E64,"3")</f>
        <v>0</v>
      </c>
      <c r="E38" s="87" t="n">
        <f aca="false">SUMIFS($F44:$F64,$D44:$D64,"Research stays",$E44:$E64,"4")</f>
        <v>0</v>
      </c>
      <c r="F38" s="87" t="n">
        <f aca="false">SUMIFS($F44:$F64,$D44:$D64,"Research stays",$E44:$E64,"6")</f>
        <v>0</v>
      </c>
      <c r="G38" s="87" t="n">
        <f aca="false">SUMIFS($F44:$F64,$D44:$D64,"Research stays",$E44:$E64,"7")</f>
        <v>0</v>
      </c>
      <c r="H38" s="87" t="n">
        <f aca="false">SUMIFS($F44:$F64,$D44:$D64,"Research stays",$E44:$E64,"8")</f>
        <v>0</v>
      </c>
      <c r="I38" s="87" t="n">
        <f aca="false">SUMIFS($F44:$F64,$D44:$D64,"Research stays",$E44:$E64,"9")</f>
        <v>0</v>
      </c>
      <c r="J38" s="87" t="n">
        <f aca="false">SUMIFS($F44:$F64,$D44:$D64,"Research stays",$E44:$E64,"10")</f>
        <v>0</v>
      </c>
      <c r="K38" s="87" t="n">
        <f aca="false">SUM(B38:J38)</f>
        <v>0</v>
      </c>
    </row>
    <row r="39" customFormat="false" ht="13.8" hidden="false" customHeight="false" outlineLevel="0" collapsed="false">
      <c r="A39" s="78" t="s">
        <v>53</v>
      </c>
      <c r="B39" s="88" t="n">
        <f aca="false">SUMIFS($F44:$F64,$D44:$D64,"Meetings &amp; events",$E44:$E64,"1")</f>
        <v>0</v>
      </c>
      <c r="C39" s="88" t="n">
        <f aca="false">SUMIFS($F44:$F64,$D44:$D64,"Meetings &amp; events",$E44:$E64,"2")</f>
        <v>0</v>
      </c>
      <c r="D39" s="88" t="n">
        <f aca="false">SUMIFS($F44:$F64,$D44:$D64,"Meetings &amp; events",$E44:$E64,"3")</f>
        <v>0</v>
      </c>
      <c r="E39" s="88" t="n">
        <f aca="false">SUMIFS($F44:$F64,$D44:$D64,"Meetings &amp; events",$E44:$E64,"4")</f>
        <v>0</v>
      </c>
      <c r="F39" s="88" t="n">
        <f aca="false">SUMIFS($F44:$F64,$D44:$D64,"Meetings &amp; events",$E44:$E64,"6")</f>
        <v>0</v>
      </c>
      <c r="G39" s="88" t="n">
        <f aca="false">SUMIFS($F44:$F64,$D44:$D64,"Meetings &amp; events",$E44:$E64,"7")</f>
        <v>0</v>
      </c>
      <c r="H39" s="88" t="n">
        <f aca="false">SUMIFS($F44:$F64,$D44:$D64,"Meetings &amp; events",$E44:$E64,"8")</f>
        <v>0</v>
      </c>
      <c r="I39" s="88" t="n">
        <f aca="false">SUMIFS($F44:$F64,$D44:$D64,"Meetings &amp; events",$E44:$E64,"9")</f>
        <v>0</v>
      </c>
      <c r="J39" s="88" t="n">
        <f aca="false">SUMIFS($F44:$F64,$D44:$D64,"Meetings &amp; events",$E44:$E64,"10")</f>
        <v>0</v>
      </c>
      <c r="K39" s="88" t="n">
        <f aca="false">SUM(B39:J39)</f>
        <v>0</v>
      </c>
    </row>
    <row r="40" customFormat="false" ht="13.8" hidden="false" customHeight="false" outlineLevel="0" collapsed="false">
      <c r="A40" s="81" t="s">
        <v>14</v>
      </c>
      <c r="B40" s="89" t="n">
        <f aca="false">SUM(B36:B39)</f>
        <v>0</v>
      </c>
      <c r="C40" s="89" t="n">
        <f aca="false">SUM(C36:C39)</f>
        <v>0</v>
      </c>
      <c r="D40" s="89" t="n">
        <f aca="false">SUM(D36:D39)</f>
        <v>0</v>
      </c>
      <c r="E40" s="89" t="n">
        <f aca="false">SUM(E36:E39)</f>
        <v>0</v>
      </c>
      <c r="F40" s="89" t="n">
        <f aca="false">SUM(F36:F39)</f>
        <v>0</v>
      </c>
      <c r="G40" s="89" t="n">
        <f aca="false">SUM(G36:G39)</f>
        <v>0</v>
      </c>
      <c r="H40" s="89" t="n">
        <f aca="false">SUM(H36:H39)</f>
        <v>0</v>
      </c>
      <c r="I40" s="89" t="n">
        <f aca="false">SUM(I36:I39)</f>
        <v>0</v>
      </c>
      <c r="J40" s="89" t="n">
        <f aca="false">SUM(J36:J39)</f>
        <v>0</v>
      </c>
      <c r="K40" s="89" t="n">
        <f aca="false">SUM(B40:J40)</f>
        <v>0</v>
      </c>
    </row>
    <row r="41" customFormat="false" ht="15" hidden="false" customHeight="false" outlineLevel="0" collapsed="false">
      <c r="A41" s="74"/>
      <c r="B41" s="24"/>
      <c r="C41" s="24"/>
      <c r="D41" s="24"/>
      <c r="E41" s="24"/>
      <c r="F41" s="101"/>
    </row>
    <row r="43" customFormat="false" ht="15" hidden="false" customHeight="false" outlineLevel="0" collapsed="false">
      <c r="A43" s="76" t="s">
        <v>105</v>
      </c>
      <c r="B43" s="76" t="s">
        <v>75</v>
      </c>
      <c r="C43" s="76"/>
      <c r="D43" s="76" t="s">
        <v>76</v>
      </c>
      <c r="E43" s="76" t="s">
        <v>77</v>
      </c>
      <c r="F43" s="76" t="s">
        <v>4</v>
      </c>
      <c r="G43" s="133" t="s">
        <v>106</v>
      </c>
      <c r="H43" s="133" t="s">
        <v>127</v>
      </c>
      <c r="I43" s="133" t="s">
        <v>108</v>
      </c>
      <c r="J43" s="133" t="s">
        <v>109</v>
      </c>
      <c r="K43" s="133" t="s">
        <v>110</v>
      </c>
      <c r="L43" s="133" t="s">
        <v>111</v>
      </c>
    </row>
    <row r="44" customFormat="false" ht="15" hidden="false" customHeight="true" outlineLevel="0" collapsed="false">
      <c r="A44" s="95"/>
      <c r="B44" s="208"/>
      <c r="C44" s="208"/>
      <c r="D44" s="92"/>
      <c r="E44" s="93"/>
      <c r="F44" s="94"/>
      <c r="G44" s="135"/>
      <c r="H44" s="138"/>
      <c r="I44" s="138"/>
      <c r="J44" s="135"/>
      <c r="K44" s="166"/>
      <c r="L44" s="166"/>
    </row>
    <row r="45" customFormat="false" ht="15" hidden="false" customHeight="true" outlineLevel="0" collapsed="false">
      <c r="A45" s="95"/>
      <c r="B45" s="115"/>
      <c r="C45" s="115"/>
      <c r="D45" s="92"/>
      <c r="E45" s="93"/>
      <c r="F45" s="94"/>
      <c r="G45" s="135"/>
      <c r="H45" s="135"/>
      <c r="I45" s="135"/>
      <c r="J45" s="135"/>
      <c r="K45" s="135"/>
      <c r="L45" s="136"/>
    </row>
    <row r="46" customFormat="false" ht="15" hidden="false" customHeight="true" outlineLevel="0" collapsed="false">
      <c r="A46" s="115"/>
      <c r="B46" s="115"/>
      <c r="C46" s="115"/>
      <c r="D46" s="92"/>
      <c r="E46" s="93"/>
      <c r="F46" s="94"/>
      <c r="G46" s="135"/>
      <c r="H46" s="135"/>
      <c r="I46" s="138"/>
      <c r="J46" s="135"/>
      <c r="K46" s="135"/>
      <c r="L46" s="136"/>
    </row>
    <row r="47" customFormat="false" ht="22.35" hidden="false" customHeight="true" outlineLevel="0" collapsed="false">
      <c r="A47" s="95"/>
      <c r="B47" s="228"/>
      <c r="C47" s="228"/>
      <c r="D47" s="92"/>
      <c r="E47" s="93"/>
      <c r="F47" s="94"/>
      <c r="G47" s="135"/>
      <c r="H47" s="135"/>
      <c r="I47" s="135"/>
      <c r="J47" s="135"/>
      <c r="K47" s="135"/>
      <c r="L47" s="166"/>
    </row>
    <row r="48" customFormat="false" ht="13.8" hidden="false" customHeight="true" outlineLevel="0" collapsed="false">
      <c r="A48" s="115"/>
      <c r="B48" s="115"/>
      <c r="C48" s="115"/>
      <c r="D48" s="92"/>
      <c r="E48" s="93"/>
      <c r="F48" s="94"/>
      <c r="G48" s="135"/>
      <c r="H48" s="135"/>
      <c r="I48" s="135"/>
      <c r="J48" s="135"/>
      <c r="K48" s="135"/>
      <c r="L48" s="166"/>
    </row>
    <row r="49" customFormat="false" ht="15" hidden="false" customHeight="false" outlineLevel="0" collapsed="false">
      <c r="A49" s="99"/>
      <c r="B49" s="98"/>
      <c r="C49" s="98"/>
      <c r="D49" s="92"/>
      <c r="E49" s="206"/>
      <c r="F49" s="211"/>
      <c r="G49" s="135"/>
      <c r="H49" s="135"/>
      <c r="I49" s="135"/>
      <c r="J49" s="135"/>
      <c r="K49" s="135"/>
      <c r="L49" s="166"/>
    </row>
    <row r="50" customFormat="false" ht="15" hidden="false" customHeight="true" outlineLevel="0" collapsed="false">
      <c r="A50" s="229"/>
      <c r="B50" s="98"/>
      <c r="C50" s="98"/>
      <c r="D50" s="92"/>
      <c r="E50" s="210"/>
      <c r="F50" s="211"/>
      <c r="G50" s="135"/>
      <c r="H50" s="135"/>
      <c r="I50" s="135"/>
      <c r="J50" s="135"/>
      <c r="K50" s="135"/>
      <c r="L50" s="166"/>
    </row>
    <row r="51" customFormat="false" ht="15" hidden="false" customHeight="false" outlineLevel="0" collapsed="false">
      <c r="A51" s="115"/>
      <c r="B51" s="98"/>
      <c r="C51" s="98"/>
      <c r="D51" s="92"/>
      <c r="E51" s="210"/>
      <c r="F51" s="94"/>
      <c r="G51" s="135"/>
      <c r="H51" s="135"/>
      <c r="I51" s="135"/>
      <c r="J51" s="230"/>
      <c r="K51" s="230"/>
      <c r="L51" s="168"/>
    </row>
    <row r="52" customFormat="false" ht="15" hidden="false" customHeight="false" outlineLevel="0" collapsed="false">
      <c r="A52" s="95"/>
      <c r="B52" s="91"/>
      <c r="C52" s="91"/>
      <c r="D52" s="92"/>
      <c r="E52" s="93"/>
      <c r="F52" s="94"/>
      <c r="G52" s="135"/>
      <c r="H52" s="135"/>
      <c r="I52" s="135"/>
      <c r="J52" s="135"/>
      <c r="K52" s="135"/>
      <c r="L52" s="136"/>
    </row>
    <row r="53" customFormat="false" ht="15" hidden="false" customHeight="false" outlineLevel="0" collapsed="false">
      <c r="A53" s="95"/>
      <c r="B53" s="91"/>
      <c r="C53" s="91"/>
      <c r="D53" s="92"/>
      <c r="E53" s="93"/>
      <c r="F53" s="94"/>
      <c r="L53" s="136"/>
    </row>
    <row r="54" customFormat="false" ht="15" hidden="false" customHeight="false" outlineLevel="0" collapsed="false">
      <c r="A54" s="95"/>
      <c r="B54" s="91"/>
      <c r="C54" s="91"/>
      <c r="D54" s="92"/>
      <c r="E54" s="93"/>
      <c r="F54" s="94"/>
      <c r="L54" s="136"/>
    </row>
    <row r="55" customFormat="false" ht="15" hidden="false" customHeight="false" outlineLevel="0" collapsed="false">
      <c r="A55" s="141"/>
      <c r="B55" s="91"/>
      <c r="C55" s="91"/>
      <c r="D55" s="153"/>
      <c r="E55" s="93"/>
      <c r="F55" s="94"/>
      <c r="G55" s="142"/>
      <c r="L55" s="140"/>
    </row>
    <row r="56" customFormat="false" ht="15" hidden="false" customHeight="false" outlineLevel="0" collapsed="false">
      <c r="A56" s="95"/>
      <c r="B56" s="91"/>
      <c r="C56" s="91"/>
      <c r="D56" s="153"/>
      <c r="E56" s="93"/>
      <c r="F56" s="94"/>
      <c r="L56" s="140"/>
    </row>
    <row r="57" customFormat="false" ht="15" hidden="false" customHeight="false" outlineLevel="0" collapsed="false">
      <c r="A57" s="95"/>
      <c r="B57" s="91"/>
      <c r="C57" s="91"/>
      <c r="D57" s="153"/>
      <c r="E57" s="93"/>
      <c r="F57" s="94"/>
      <c r="L57" s="140"/>
    </row>
    <row r="58" customFormat="false" ht="15" hidden="false" customHeight="false" outlineLevel="0" collapsed="false">
      <c r="A58" s="95"/>
      <c r="B58" s="91"/>
      <c r="C58" s="91"/>
      <c r="D58" s="153"/>
      <c r="E58" s="93"/>
      <c r="F58" s="94"/>
      <c r="L58" s="140"/>
    </row>
    <row r="59" customFormat="false" ht="15" hidden="false" customHeight="false" outlineLevel="0" collapsed="false">
      <c r="A59" s="95"/>
      <c r="B59" s="91"/>
      <c r="C59" s="91"/>
      <c r="D59" s="153"/>
      <c r="E59" s="93"/>
      <c r="F59" s="94"/>
      <c r="L59" s="140"/>
    </row>
    <row r="60" customFormat="false" ht="15" hidden="false" customHeight="false" outlineLevel="0" collapsed="false">
      <c r="A60" s="95"/>
      <c r="B60" s="91"/>
      <c r="C60" s="91"/>
      <c r="D60" s="153"/>
      <c r="E60" s="93"/>
      <c r="F60" s="94"/>
    </row>
    <row r="61" customFormat="false" ht="15" hidden="false" customHeight="false" outlineLevel="0" collapsed="false">
      <c r="A61" s="95"/>
      <c r="B61" s="91"/>
      <c r="C61" s="91"/>
      <c r="D61" s="153"/>
      <c r="E61" s="93"/>
      <c r="F61" s="94"/>
    </row>
    <row r="62" customFormat="false" ht="15" hidden="false" customHeight="false" outlineLevel="0" collapsed="false">
      <c r="A62" s="95"/>
      <c r="B62" s="91"/>
      <c r="C62" s="91"/>
      <c r="D62" s="153"/>
      <c r="E62" s="93"/>
      <c r="F62" s="94"/>
    </row>
    <row r="63" customFormat="false" ht="15" hidden="false" customHeight="false" outlineLevel="0" collapsed="false">
      <c r="A63" s="95"/>
      <c r="B63" s="91"/>
      <c r="C63" s="91"/>
      <c r="D63" s="153"/>
      <c r="E63" s="93"/>
      <c r="F63" s="94"/>
    </row>
    <row r="64" customFormat="false" ht="15" hidden="false" customHeight="false" outlineLevel="0" collapsed="false">
      <c r="A64" s="95"/>
      <c r="B64" s="91"/>
      <c r="C64" s="91"/>
      <c r="D64" s="153"/>
      <c r="E64" s="93"/>
      <c r="F64" s="94"/>
    </row>
    <row r="1048576" customFormat="false" ht="12.8" hidden="false" customHeight="false" outlineLevel="0" collapsed="false"/>
  </sheetData>
  <mergeCells count="38"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28:C28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</mergeCells>
  <dataValidations count="6">
    <dataValidation allowBlank="true" operator="equal" showDropDown="false" showErrorMessage="true" showInputMessage="true" sqref="D13:D21 D23:D28 D44 D46:D51 D53:D64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13:E21 E23:E28 E44 E47 E49:E51 E53:E64" type="list">
      <formula1>"1,2,3,4,5,6,7,8,9,10"</formula1>
      <formula2>0</formula2>
    </dataValidation>
    <dataValidation allowBlank="true" operator="equal" showDropDown="false" showErrorMessage="true" showInputMessage="true" sqref="D22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22" type="list">
      <formula1>"1,2,3,4,5,6,7,8,9,10"</formula1>
      <formula2>0</formula2>
    </dataValidation>
    <dataValidation allowBlank="true" operator="equal" showDropDown="false" showErrorMessage="true" showInputMessage="true" sqref="D45 D52" type="list">
      <formula1>"Staff costs,Management,Research stays,Meetings &amp; events,Aladin Flat-rate LACE"</formula1>
      <formula2>0</formula2>
    </dataValidation>
    <dataValidation allowBlank="true" operator="equal" showDropDown="false" showErrorMessage="true" showInputMessage="true" sqref="E45:E46 E48 E52" type="list">
      <formula1>"1,2,3,4,5,6,7,8,9,10,11,12,13,14"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RowHeight="15" zeroHeight="false" outlineLevelRow="0" outlineLevelCol="0"/>
  <cols>
    <col collapsed="false" customWidth="true" hidden="false" outlineLevel="0" max="1" min="1" style="0" width="32.42"/>
    <col collapsed="false" customWidth="true" hidden="false" outlineLevel="0" max="4" min="2" style="0" width="18.71"/>
    <col collapsed="false" customWidth="true" hidden="false" outlineLevel="0" max="5" min="5" style="0" width="18.12"/>
    <col collapsed="false" customWidth="true" hidden="false" outlineLevel="0" max="6" min="6" style="0" width="17.4"/>
    <col collapsed="false" customWidth="true" hidden="false" outlineLevel="0" max="7" min="7" style="0" width="17"/>
    <col collapsed="false" customWidth="true" hidden="false" outlineLevel="0" max="8" min="8" style="0" width="16.29"/>
    <col collapsed="false" customWidth="true" hidden="false" outlineLevel="0" max="9" min="9" style="0" width="16.87"/>
    <col collapsed="false" customWidth="true" hidden="false" outlineLevel="0" max="10" min="10" style="0" width="15.71"/>
    <col collapsed="false" customWidth="true" hidden="false" outlineLevel="0" max="11" min="11" style="0" width="15.29"/>
    <col collapsed="false" customWidth="true" hidden="false" outlineLevel="0" max="1025" min="12" style="0" width="10.65"/>
  </cols>
  <sheetData>
    <row r="1" customFormat="false" ht="15" hidden="false" customHeight="false" outlineLevel="0" collapsed="false">
      <c r="G1" s="83"/>
    </row>
    <row r="2" customFormat="false" ht="21" hidden="false" customHeight="false" outlineLevel="0" collapsed="false">
      <c r="A2" s="1" t="s">
        <v>200</v>
      </c>
    </row>
    <row r="3" customFormat="false" ht="15" hidden="false" customHeight="false" outlineLevel="0" collapsed="false">
      <c r="A3" s="84"/>
      <c r="B3" s="84" t="s">
        <v>59</v>
      </c>
      <c r="C3" s="84" t="s">
        <v>60</v>
      </c>
      <c r="D3" s="84" t="s">
        <v>61</v>
      </c>
      <c r="E3" s="84" t="s">
        <v>62</v>
      </c>
      <c r="F3" s="84" t="s">
        <v>63</v>
      </c>
      <c r="G3" s="84" t="s">
        <v>64</v>
      </c>
      <c r="H3" s="84" t="s">
        <v>65</v>
      </c>
      <c r="I3" s="84" t="s">
        <v>66</v>
      </c>
      <c r="J3" s="84" t="s">
        <v>67</v>
      </c>
      <c r="K3" s="84" t="s">
        <v>68</v>
      </c>
      <c r="L3" s="84" t="s">
        <v>14</v>
      </c>
    </row>
    <row r="4" customFormat="false" ht="30" hidden="false" customHeight="false" outlineLevel="0" collapsed="false">
      <c r="A4" s="85"/>
      <c r="B4" s="146" t="s">
        <v>182</v>
      </c>
      <c r="C4" s="146" t="s">
        <v>73</v>
      </c>
      <c r="D4" s="146" t="s">
        <v>73</v>
      </c>
      <c r="E4" s="146" t="s">
        <v>73</v>
      </c>
      <c r="F4" s="146" t="s">
        <v>73</v>
      </c>
      <c r="G4" s="146" t="s">
        <v>73</v>
      </c>
      <c r="H4" s="146" t="s">
        <v>73</v>
      </c>
      <c r="I4" s="146" t="s">
        <v>73</v>
      </c>
      <c r="J4" s="146" t="s">
        <v>73</v>
      </c>
      <c r="K4" s="146" t="s">
        <v>73</v>
      </c>
      <c r="L4" s="85"/>
    </row>
    <row r="5" customFormat="false" ht="15" hidden="false" customHeight="false" outlineLevel="0" collapsed="false">
      <c r="A5" s="60" t="s">
        <v>48</v>
      </c>
      <c r="B5" s="87" t="n">
        <f aca="false">SUMIFS($F13:$F24,$D13:$D24,"Staff costs",$E13:$E24,"1")</f>
        <v>5200</v>
      </c>
      <c r="C5" s="87" t="n">
        <f aca="false">SUMIFS($F13:$F24,$D13:$D24,"Staff costs",$E13:$E24,"2")</f>
        <v>0</v>
      </c>
      <c r="D5" s="87" t="n">
        <f aca="false">SUMIFS($F13:$F24,$D13:$D24,"Staff costs",$E13:$E24,"3")</f>
        <v>0</v>
      </c>
      <c r="E5" s="87" t="n">
        <f aca="false">SUMIFS($F13:$F24,$D13:$D24,"Staff costs",$E13:$E24,"4")</f>
        <v>0</v>
      </c>
      <c r="F5" s="87" t="n">
        <f aca="false">SUMIFS($F13:$F24,$D13:$D24,"Staff costs",$E13:$E24,"5")</f>
        <v>0</v>
      </c>
      <c r="G5" s="87" t="n">
        <f aca="false">SUMIFS($F13:$F24,$D13:$D24,"Staff costs",$E13:$E24,"6")</f>
        <v>0</v>
      </c>
      <c r="H5" s="87" t="n">
        <f aca="false">SUMIFS($F13:$F24,$D13:$D24,"Staff costs",$E13:$E24,"7")</f>
        <v>0</v>
      </c>
      <c r="I5" s="87" t="n">
        <f aca="false">SUMIFS($F13:$F24,$D13:$D24,"Staff costs",$E13:$E24,"8")</f>
        <v>0</v>
      </c>
      <c r="J5" s="87" t="n">
        <f aca="false">SUMIFS($F13:$F24,$D13:$D24,"Staff costs",$E13:$E24,"9")</f>
        <v>0</v>
      </c>
      <c r="K5" s="87" t="n">
        <f aca="false">SUMIFS($F13:$F24,$D13:$D24,"Staff costs",$E13:$E24,"10")</f>
        <v>0</v>
      </c>
      <c r="L5" s="87" t="n">
        <f aca="false">SUM(B5:K5)</f>
        <v>5200</v>
      </c>
    </row>
    <row r="6" customFormat="false" ht="15" hidden="false" customHeight="false" outlineLevel="0" collapsed="false">
      <c r="A6" s="60" t="s">
        <v>50</v>
      </c>
      <c r="B6" s="87" t="n">
        <f aca="false">SUMIFS($F13:$F24,$D13:$D24,"Management",$E13:$E24,"1")</f>
        <v>3000</v>
      </c>
      <c r="C6" s="87" t="n">
        <f aca="false">SUMIFS($F13:$F24,$D13:$D24,"Management",$E13:$E24,"2")</f>
        <v>0</v>
      </c>
      <c r="D6" s="87" t="n">
        <f aca="false">SUMIFS($F13:$F24,$D13:$D24,"Management",$E13:$E24,"3")</f>
        <v>0</v>
      </c>
      <c r="E6" s="87" t="n">
        <f aca="false">SUMIFS($F13:$F24,$D13:$D24,"Management",$E13:$E24,"4")</f>
        <v>0</v>
      </c>
      <c r="F6" s="87" t="n">
        <f aca="false">SUMIFS($F13:$F24,$D13:$D24,"Management",$E13:$E24,"5")</f>
        <v>0</v>
      </c>
      <c r="G6" s="87" t="n">
        <f aca="false">SUMIFS($F13:$F24,$D13:$D24,"Management",$E13:$E24,"6")</f>
        <v>0</v>
      </c>
      <c r="H6" s="87" t="n">
        <f aca="false">SUMIFS($F13:$F24,$D13:$D24,"Management",$E13:$E24,"7")</f>
        <v>0</v>
      </c>
      <c r="I6" s="87" t="n">
        <f aca="false">SUMIFS($F13:$F24,$D13:$D24,"Management",$E13:$E24,"8")</f>
        <v>0</v>
      </c>
      <c r="J6" s="87" t="n">
        <f aca="false">SUMIFS($F13:$F24,$D13:$D24,"Management",$E13:$E24,"9")</f>
        <v>0</v>
      </c>
      <c r="K6" s="87" t="n">
        <f aca="false">SUMIFS($F13:$F24,$D13:$D24,"Management",$E13:$E24,"10")</f>
        <v>0</v>
      </c>
      <c r="L6" s="87" t="n">
        <f aca="false">SUM(B6:K6)</f>
        <v>3000</v>
      </c>
    </row>
    <row r="7" customFormat="false" ht="15" hidden="false" customHeight="false" outlineLevel="0" collapsed="false">
      <c r="A7" s="60" t="s">
        <v>52</v>
      </c>
      <c r="B7" s="87" t="n">
        <v>1220</v>
      </c>
      <c r="C7" s="87" t="n">
        <f aca="false">SUMIFS($F13:$F24,$D13:$D24,"Research stays",$E13:$E24,"2")</f>
        <v>0</v>
      </c>
      <c r="D7" s="87" t="n">
        <f aca="false">SUMIFS($F13:$F24,$D13:$D24,"Research stays",$E13:$E24,"3")</f>
        <v>0</v>
      </c>
      <c r="E7" s="87" t="n">
        <f aca="false">SUMIFS($F13:$F24,$D13:$D24,"Research stays",$E13:$E24,"4")</f>
        <v>0</v>
      </c>
      <c r="F7" s="87" t="n">
        <f aca="false">SUMIFS($F13:$F24,$D13:$D24,"Research stays",$E13:$E24,"5")</f>
        <v>0</v>
      </c>
      <c r="G7" s="87" t="n">
        <f aca="false">SUMIFS($F13:$F24,$D13:$D24,"Research stays",$E13:$E24,"6")</f>
        <v>0</v>
      </c>
      <c r="H7" s="87" t="n">
        <f aca="false">SUMIFS($F13:$F24,$D13:$D24,"Research stays",$E13:$E24,"7")</f>
        <v>0</v>
      </c>
      <c r="I7" s="87" t="n">
        <f aca="false">SUMIFS($F13:$F24,$D13:$D24,"Research stays",$E13:$E24,"8")</f>
        <v>0</v>
      </c>
      <c r="J7" s="87" t="n">
        <f aca="false">SUMIFS($F13:$F24,$D13:$D24,"Research stays",$E13:$E24,"9")</f>
        <v>0</v>
      </c>
      <c r="K7" s="87" t="n">
        <f aca="false">SUMIFS($F13:$F24,$D13:$D24,"Research stays",$E13:$E24,"10")</f>
        <v>0</v>
      </c>
      <c r="L7" s="87" t="n">
        <f aca="false">SUM(B7:K7)</f>
        <v>1220</v>
      </c>
    </row>
    <row r="8" customFormat="false" ht="15.75" hidden="false" customHeight="false" outlineLevel="0" collapsed="false">
      <c r="A8" s="60" t="s">
        <v>53</v>
      </c>
      <c r="B8" s="88" t="n">
        <v>1000</v>
      </c>
      <c r="C8" s="88" t="n">
        <f aca="false">SUMIFS($F13:$F24,$D13:$D24,"Meetings &amp; events",$E13:$E24,"2")</f>
        <v>0</v>
      </c>
      <c r="D8" s="88" t="n">
        <f aca="false">SUMIFS($F13:$F24,$D13:$D24,"Meetings &amp; events",$E13:$E24,"3")</f>
        <v>0</v>
      </c>
      <c r="E8" s="88" t="n">
        <f aca="false">SUMIFS($F13:$F24,$D13:$D24,"Meetings &amp; events",$E13:$E24,"4")</f>
        <v>0</v>
      </c>
      <c r="F8" s="88" t="n">
        <f aca="false">SUMIFS($F13:$F24,$D13:$D24,"Meetings &amp; events",$E13:$E24,"5")</f>
        <v>0</v>
      </c>
      <c r="G8" s="88" t="n">
        <f aca="false">SUMIFS($F13:$F24,$D13:$D24,"Meetings &amp; events",$E13:$E24,"6")</f>
        <v>0</v>
      </c>
      <c r="H8" s="88" t="n">
        <f aca="false">SUMIFS($F13:$F24,$D13:$D24,"Meetings &amp; events",$E13:$E24,"7")</f>
        <v>0</v>
      </c>
      <c r="I8" s="88" t="n">
        <f aca="false">SUMIFS($F13:$F24,$D13:$D24,"Meetings &amp; events",$E13:$E24,"8")</f>
        <v>0</v>
      </c>
      <c r="J8" s="88" t="n">
        <f aca="false">SUMIFS($F13:$F24,$D13:$D24,"Meetings &amp; events",$E13:$E24,"9")</f>
        <v>0</v>
      </c>
      <c r="K8" s="88" t="n">
        <f aca="false">SUMIFS($F13:$F24,$D13:$D24,"Meetings &amp; events",$E13:$E24,"10")</f>
        <v>0</v>
      </c>
      <c r="L8" s="88" t="n">
        <f aca="false">SUM(B8:K8)</f>
        <v>1000</v>
      </c>
    </row>
    <row r="9" customFormat="false" ht="15" hidden="false" customHeight="false" outlineLevel="0" collapsed="false">
      <c r="A9" s="70" t="s">
        <v>14</v>
      </c>
      <c r="B9" s="89" t="n">
        <f aca="false">SUM(B5:B8)</f>
        <v>10420</v>
      </c>
      <c r="C9" s="89" t="n">
        <f aca="false">SUM(C5:C8)</f>
        <v>0</v>
      </c>
      <c r="D9" s="89" t="n">
        <f aca="false">SUM(D5:D8)</f>
        <v>0</v>
      </c>
      <c r="E9" s="89" t="n">
        <f aca="false">SUM(E5:E8)</f>
        <v>0</v>
      </c>
      <c r="F9" s="89" t="n">
        <f aca="false">SUM(F5:F8)</f>
        <v>0</v>
      </c>
      <c r="G9" s="89" t="n">
        <f aca="false">SUM(G5:G8)</f>
        <v>0</v>
      </c>
      <c r="H9" s="89" t="n">
        <f aca="false">SUM(H5:H8)</f>
        <v>0</v>
      </c>
      <c r="I9" s="89" t="n">
        <f aca="false">SUM(I5:I8)</f>
        <v>0</v>
      </c>
      <c r="J9" s="89" t="n">
        <f aca="false">SUM(J5:J8)</f>
        <v>0</v>
      </c>
      <c r="K9" s="89" t="n">
        <f aca="false">SUM(K5:K8)</f>
        <v>0</v>
      </c>
      <c r="L9" s="89" t="n">
        <f aca="false">SUM(B9:K9)</f>
        <v>10420</v>
      </c>
    </row>
    <row r="10" customFormat="false" ht="15" hidden="false" customHeight="false" outlineLevel="0" collapsed="false">
      <c r="A10" s="74"/>
      <c r="B10" s="24"/>
      <c r="C10" s="24"/>
      <c r="D10" s="24"/>
      <c r="E10" s="24"/>
      <c r="F10" s="101"/>
    </row>
    <row r="12" customFormat="false" ht="15" hidden="false" customHeight="false" outlineLevel="0" collapsed="false">
      <c r="A12" s="84" t="s">
        <v>74</v>
      </c>
      <c r="B12" s="84" t="s">
        <v>75</v>
      </c>
      <c r="C12" s="84"/>
      <c r="D12" s="84" t="s">
        <v>76</v>
      </c>
      <c r="E12" s="84" t="s">
        <v>77</v>
      </c>
      <c r="F12" s="84" t="s">
        <v>78</v>
      </c>
      <c r="H12" s="147"/>
    </row>
    <row r="13" customFormat="false" ht="15" hidden="false" customHeight="true" outlineLevel="0" collapsed="false">
      <c r="A13" s="90" t="s">
        <v>201</v>
      </c>
      <c r="B13" s="91" t="s">
        <v>202</v>
      </c>
      <c r="C13" s="91"/>
      <c r="D13" s="92" t="s">
        <v>81</v>
      </c>
      <c r="E13" s="93" t="n">
        <v>1</v>
      </c>
      <c r="F13" s="94" t="n">
        <v>5200</v>
      </c>
    </row>
    <row r="14" customFormat="false" ht="15" hidden="false" customHeight="false" outlineLevel="0" collapsed="false">
      <c r="A14" s="91"/>
      <c r="B14" s="91"/>
      <c r="C14" s="91"/>
      <c r="D14" s="92"/>
      <c r="E14" s="93"/>
      <c r="F14" s="94"/>
    </row>
    <row r="15" customFormat="false" ht="15" hidden="false" customHeight="true" outlineLevel="0" collapsed="false">
      <c r="A15" s="90" t="s">
        <v>82</v>
      </c>
      <c r="B15" s="98" t="s">
        <v>124</v>
      </c>
      <c r="C15" s="98"/>
      <c r="D15" s="92" t="s">
        <v>84</v>
      </c>
      <c r="E15" s="93" t="n">
        <v>1</v>
      </c>
      <c r="F15" s="94" t="n">
        <v>3000</v>
      </c>
      <c r="G15" s="0" t="s">
        <v>85</v>
      </c>
    </row>
    <row r="16" customFormat="false" ht="15" hidden="false" customHeight="false" outlineLevel="0" collapsed="false">
      <c r="A16" s="231"/>
      <c r="B16" s="231"/>
      <c r="C16" s="231"/>
      <c r="D16" s="232"/>
      <c r="E16" s="157"/>
      <c r="F16" s="158"/>
    </row>
    <row r="17" customFormat="false" ht="13.8" hidden="false" customHeight="false" outlineLevel="0" collapsed="false">
      <c r="A17" s="233" t="s">
        <v>203</v>
      </c>
      <c r="B17" s="233" t="s">
        <v>204</v>
      </c>
      <c r="C17" s="233"/>
      <c r="D17" s="234" t="s">
        <v>93</v>
      </c>
      <c r="E17" s="235" t="n">
        <v>1</v>
      </c>
      <c r="F17" s="236" t="n">
        <v>1220</v>
      </c>
      <c r="G17" s="117"/>
    </row>
    <row r="18" customFormat="false" ht="13.8" hidden="false" customHeight="false" outlineLevel="0" collapsed="false">
      <c r="A18" s="237"/>
      <c r="B18" s="237"/>
      <c r="C18" s="237"/>
      <c r="D18" s="238"/>
      <c r="E18" s="239"/>
      <c r="F18" s="240"/>
    </row>
    <row r="19" customFormat="false" ht="13.8" hidden="false" customHeight="false" outlineLevel="0" collapsed="false">
      <c r="A19" s="237" t="s">
        <v>205</v>
      </c>
      <c r="B19" s="237" t="s">
        <v>206</v>
      </c>
      <c r="C19" s="237"/>
      <c r="D19" s="238" t="s">
        <v>95</v>
      </c>
      <c r="E19" s="239" t="n">
        <v>1</v>
      </c>
      <c r="F19" s="240" t="n">
        <v>1000</v>
      </c>
    </row>
    <row r="20" customFormat="false" ht="15" hidden="false" customHeight="false" outlineLevel="0" collapsed="false">
      <c r="A20" s="95"/>
      <c r="B20" s="91"/>
      <c r="C20" s="91"/>
      <c r="D20" s="153"/>
      <c r="E20" s="93"/>
      <c r="F20" s="94"/>
    </row>
    <row r="21" customFormat="false" ht="15" hidden="false" customHeight="false" outlineLevel="0" collapsed="false">
      <c r="A21" s="95"/>
      <c r="B21" s="183"/>
      <c r="C21" s="183"/>
      <c r="D21" s="153"/>
      <c r="E21" s="93"/>
      <c r="F21" s="94"/>
      <c r="G21" s="13"/>
    </row>
    <row r="22" customFormat="false" ht="15" hidden="false" customHeight="false" outlineLevel="0" collapsed="false">
      <c r="A22" s="95"/>
      <c r="B22" s="96"/>
      <c r="C22" s="97"/>
      <c r="D22" s="153"/>
      <c r="E22" s="93"/>
      <c r="F22" s="94"/>
    </row>
    <row r="23" customFormat="false" ht="15" hidden="false" customHeight="false" outlineLevel="0" collapsed="false">
      <c r="A23" s="95"/>
      <c r="B23" s="91"/>
      <c r="C23" s="91"/>
      <c r="D23" s="153"/>
      <c r="E23" s="93"/>
      <c r="F23" s="94"/>
    </row>
    <row r="24" customFormat="false" ht="15" hidden="false" customHeight="false" outlineLevel="0" collapsed="false">
      <c r="A24" s="95"/>
      <c r="B24" s="91"/>
      <c r="C24" s="91"/>
      <c r="D24" s="153"/>
      <c r="E24" s="93"/>
      <c r="F24" s="94"/>
    </row>
    <row r="25" customFormat="false" ht="15" hidden="false" customHeight="false" outlineLevel="0" collapsed="false">
      <c r="A25" s="127" t="s">
        <v>97</v>
      </c>
      <c r="B25" s="127"/>
      <c r="C25" s="127"/>
    </row>
    <row r="26" customFormat="false" ht="15" hidden="false" customHeight="false" outlineLevel="0" collapsed="false">
      <c r="A26" s="127" t="s">
        <v>98</v>
      </c>
      <c r="B26" s="128" t="s">
        <v>99</v>
      </c>
      <c r="C26" s="129" t="s">
        <v>100</v>
      </c>
    </row>
    <row r="29" customFormat="false" ht="21" hidden="false" customHeight="false" outlineLevel="0" collapsed="false">
      <c r="A29" s="1" t="s">
        <v>207</v>
      </c>
    </row>
    <row r="30" customFormat="false" ht="15" hidden="false" customHeight="false" outlineLevel="0" collapsed="false">
      <c r="A30" s="130"/>
      <c r="B30" s="130" t="s">
        <v>59</v>
      </c>
      <c r="C30" s="130" t="s">
        <v>60</v>
      </c>
      <c r="D30" s="130" t="s">
        <v>61</v>
      </c>
      <c r="E30" s="130" t="s">
        <v>62</v>
      </c>
      <c r="F30" s="130" t="s">
        <v>63</v>
      </c>
      <c r="G30" s="130" t="s">
        <v>64</v>
      </c>
      <c r="H30" s="130" t="s">
        <v>65</v>
      </c>
      <c r="I30" s="130" t="s">
        <v>66</v>
      </c>
      <c r="J30" s="130" t="s">
        <v>67</v>
      </c>
      <c r="K30" s="130" t="s">
        <v>68</v>
      </c>
      <c r="L30" s="130" t="s">
        <v>14</v>
      </c>
    </row>
    <row r="31" customFormat="false" ht="30" hidden="false" customHeight="false" outlineLevel="0" collapsed="false">
      <c r="A31" s="131"/>
      <c r="B31" s="226" t="s">
        <v>182</v>
      </c>
      <c r="C31" s="226" t="s">
        <v>73</v>
      </c>
      <c r="D31" s="226" t="s">
        <v>73</v>
      </c>
      <c r="E31" s="226" t="s">
        <v>73</v>
      </c>
      <c r="F31" s="226" t="s">
        <v>73</v>
      </c>
      <c r="G31" s="226" t="s">
        <v>73</v>
      </c>
      <c r="H31" s="226" t="s">
        <v>73</v>
      </c>
      <c r="I31" s="226" t="s">
        <v>73</v>
      </c>
      <c r="J31" s="226" t="s">
        <v>73</v>
      </c>
      <c r="K31" s="226" t="s">
        <v>73</v>
      </c>
      <c r="L31" s="131"/>
    </row>
    <row r="32" customFormat="false" ht="15" hidden="false" customHeight="false" outlineLevel="0" collapsed="false">
      <c r="A32" s="78" t="s">
        <v>81</v>
      </c>
      <c r="B32" s="87" t="n">
        <f aca="false">SUMIFS($F40:$F57,$D40:$D57,"Staff costs",$E40:$E57,"1")</f>
        <v>0</v>
      </c>
      <c r="C32" s="87" t="n">
        <f aca="false">SUMIFS($F40:$F57,$D40:$D57,"Staff costs",$E40:$E57,"2")</f>
        <v>0</v>
      </c>
      <c r="D32" s="87" t="n">
        <f aca="false">SUMIFS($F40:$F57,$D40:$D57,"Staff costs",$E40:$E57,"3")</f>
        <v>0</v>
      </c>
      <c r="E32" s="87" t="n">
        <f aca="false">SUMIFS($F40:$F57,$D40:$D57,"Staff costs",$E40:$E57,"4")</f>
        <v>0</v>
      </c>
      <c r="F32" s="87" t="n">
        <f aca="false">SUMIFS($F40:$F57,$D40:$D57,"Staff costs",$E40:$E57,"5")</f>
        <v>0</v>
      </c>
      <c r="G32" s="87" t="n">
        <f aca="false">SUMIFS($F40:$F57,$D40:$D57,"Staff costs",$E40:$E57,"6")</f>
        <v>0</v>
      </c>
      <c r="H32" s="87" t="n">
        <f aca="false">SUMIFS($F40:$F57,$D40:$D57,"Staff costs",$E40:$E57,"7")</f>
        <v>0</v>
      </c>
      <c r="I32" s="87" t="n">
        <f aca="false">SUMIFS($F40:$F57,$D40:$D57,"Staff costs",$E40:$E57,"8")</f>
        <v>0</v>
      </c>
      <c r="J32" s="87" t="n">
        <f aca="false">SUMIFS($F40:$F57,$D40:$D57,"Staff costs",$E40:$E57,"9")</f>
        <v>0</v>
      </c>
      <c r="K32" s="87" t="n">
        <f aca="false">SUMIFS($F40:$F57,$D40:$D57,"Staff costs",$E40:$E57,"10")</f>
        <v>0</v>
      </c>
      <c r="L32" s="87" t="n">
        <f aca="false">SUM(B32:K32)</f>
        <v>0</v>
      </c>
    </row>
    <row r="33" customFormat="false" ht="15" hidden="false" customHeight="false" outlineLevel="0" collapsed="false">
      <c r="A33" s="78" t="s">
        <v>50</v>
      </c>
      <c r="B33" s="87" t="n">
        <f aca="false">SUMIFS($F40:$F57,$D40:$D57,"Management",$E40:$E57,"1")</f>
        <v>0</v>
      </c>
      <c r="C33" s="87" t="n">
        <f aca="false">SUMIFS($F40:$F57,$D40:$D57,"Management",$E40:$E57,"2")</f>
        <v>0</v>
      </c>
      <c r="D33" s="87" t="n">
        <f aca="false">SUMIFS($F40:$F57,$D40:$D57,"Management",$E40:$E57,"3")</f>
        <v>0</v>
      </c>
      <c r="E33" s="87" t="n">
        <f aca="false">SUMIFS($F40:$F57,$D40:$D57,"Management",$E40:$E57,"4")</f>
        <v>0</v>
      </c>
      <c r="F33" s="87" t="n">
        <f aca="false">SUMIFS($F40:$F57,$D40:$D57,"Management",$E40:$E57,"5")</f>
        <v>0</v>
      </c>
      <c r="G33" s="87" t="n">
        <f aca="false">SUMIFS($F40:$F57,$D40:$D57,"Management",$E40:$E57,"6")</f>
        <v>0</v>
      </c>
      <c r="H33" s="87" t="n">
        <f aca="false">SUMIFS($F40:$F57,$D40:$D57,"Management",$E40:$E57,"7")</f>
        <v>0</v>
      </c>
      <c r="I33" s="87" t="n">
        <f aca="false">SUMIFS($F40:$F57,$D40:$D57,"Management",$E40:$E57,"8")</f>
        <v>0</v>
      </c>
      <c r="J33" s="87" t="n">
        <f aca="false">SUMIFS($F40:$F57,$D40:$D57,"Management",$E40:$E57,"9")</f>
        <v>0</v>
      </c>
      <c r="K33" s="87" t="n">
        <f aca="false">SUMIFS($F40:$F57,$D40:$D57,"Management",$E40:$E57,"10")</f>
        <v>0</v>
      </c>
      <c r="L33" s="87" t="n">
        <f aca="false">SUM(B33:K33)</f>
        <v>0</v>
      </c>
    </row>
    <row r="34" customFormat="false" ht="15" hidden="false" customHeight="false" outlineLevel="0" collapsed="false">
      <c r="A34" s="78" t="s">
        <v>52</v>
      </c>
      <c r="B34" s="87" t="n">
        <f aca="false">SUMIFS($F40:$F57,$D40:$D57,"Research stays",$E40:$E57,"1")</f>
        <v>0</v>
      </c>
      <c r="C34" s="87" t="n">
        <f aca="false">SUMIFS($F40:$F57,$D40:$D57,"Research stays",$E40:$E57,"2")</f>
        <v>0</v>
      </c>
      <c r="D34" s="87" t="n">
        <f aca="false">SUMIFS($F40:$F57,$D40:$D57,"Research stays",$E40:$E57,"3")</f>
        <v>0</v>
      </c>
      <c r="E34" s="87" t="n">
        <f aca="false">SUMIFS($F40:$F57,$D40:$D57,"Research stays",$E40:$E57,"4")</f>
        <v>0</v>
      </c>
      <c r="F34" s="87" t="n">
        <f aca="false">SUMIFS($F40:$F57,$D40:$D57,"Research stays",$E40:$E57,"5")</f>
        <v>0</v>
      </c>
      <c r="G34" s="87" t="n">
        <f aca="false">SUMIFS($F40:$F57,$D40:$D57,"Research stays",$E40:$E57,"6")</f>
        <v>0</v>
      </c>
      <c r="H34" s="87" t="n">
        <f aca="false">SUMIFS($F40:$F57,$D40:$D57,"Research stays",$E40:$E57,"7")</f>
        <v>0</v>
      </c>
      <c r="I34" s="87" t="n">
        <f aca="false">SUMIFS($F40:$F57,$D40:$D57,"Research stays",$E40:$E57,"8")</f>
        <v>0</v>
      </c>
      <c r="J34" s="87" t="n">
        <f aca="false">SUMIFS($F40:$F57,$D40:$D57,"Research stays",$E40:$E57,"9")</f>
        <v>0</v>
      </c>
      <c r="K34" s="87" t="n">
        <f aca="false">SUMIFS($F40:$F57,$D40:$D57,"Research stays",$E40:$E57,"10")</f>
        <v>0</v>
      </c>
      <c r="L34" s="87" t="n">
        <f aca="false">SUM(B34:K34)</f>
        <v>0</v>
      </c>
    </row>
    <row r="35" customFormat="false" ht="15.75" hidden="false" customHeight="false" outlineLevel="0" collapsed="false">
      <c r="A35" s="78" t="s">
        <v>53</v>
      </c>
      <c r="B35" s="88" t="n">
        <f aca="false">SUMIFS($F40:$F57,$D40:$D57,"Meetings &amp; events",$E40:$E57,"1")</f>
        <v>0</v>
      </c>
      <c r="C35" s="88" t="n">
        <f aca="false">SUMIFS($F40:$F57,$D40:$D57,"Meetings &amp; events",$E40:$E57,"2")</f>
        <v>0</v>
      </c>
      <c r="D35" s="88" t="n">
        <f aca="false">SUMIFS($F40:$F57,$D40:$D57,"Meetings &amp; events",$E40:$E57,"3")</f>
        <v>0</v>
      </c>
      <c r="E35" s="88" t="n">
        <f aca="false">SUMIFS($F40:$F57,$D40:$D57,"Meetings &amp; events",$E40:$E57,"4")</f>
        <v>0</v>
      </c>
      <c r="F35" s="88" t="n">
        <f aca="false">SUMIFS($F40:$F57,$D40:$D57,"Meetings &amp; events",$E40:$E57,"5")</f>
        <v>0</v>
      </c>
      <c r="G35" s="88" t="n">
        <f aca="false">SUMIFS($F40:$F57,$D40:$D57,"Meetings &amp; events",$E40:$E57,"6")</f>
        <v>0</v>
      </c>
      <c r="H35" s="88" t="n">
        <f aca="false">SUMIFS($F40:$F57,$D40:$D57,"Meetings &amp; events",$E40:$E57,"7")</f>
        <v>0</v>
      </c>
      <c r="I35" s="88" t="n">
        <f aca="false">SUMIFS($F40:$F57,$D40:$D57,"Meetings &amp; events",$E40:$E57,"8")</f>
        <v>0</v>
      </c>
      <c r="J35" s="88" t="n">
        <f aca="false">SUMIFS($F40:$F57,$D40:$D57,"Meetings &amp; events",$E40:$E57,"9")</f>
        <v>0</v>
      </c>
      <c r="K35" s="88" t="n">
        <f aca="false">SUMIFS($F40:$F57,$D40:$D57,"Meetings &amp; events",$E40:$E57,"10")</f>
        <v>0</v>
      </c>
      <c r="L35" s="88" t="n">
        <f aca="false">SUM(B35:K35)</f>
        <v>0</v>
      </c>
    </row>
    <row r="36" customFormat="false" ht="15" hidden="false" customHeight="false" outlineLevel="0" collapsed="false">
      <c r="A36" s="81" t="s">
        <v>14</v>
      </c>
      <c r="B36" s="89" t="n">
        <f aca="false">SUM(B32:B35)</f>
        <v>0</v>
      </c>
      <c r="C36" s="89" t="n">
        <f aca="false">SUM(C32:C35)</f>
        <v>0</v>
      </c>
      <c r="D36" s="89" t="n">
        <f aca="false">SUM(D32:D35)</f>
        <v>0</v>
      </c>
      <c r="E36" s="89" t="n">
        <f aca="false">SUM(E32:E35)</f>
        <v>0</v>
      </c>
      <c r="F36" s="89" t="n">
        <f aca="false">SUM(F32:F35)</f>
        <v>0</v>
      </c>
      <c r="G36" s="89" t="n">
        <f aca="false">SUM(G32:G35)</f>
        <v>0</v>
      </c>
      <c r="H36" s="89" t="n">
        <f aca="false">SUM(H32:H35)</f>
        <v>0</v>
      </c>
      <c r="I36" s="89" t="n">
        <f aca="false">SUM(I32:I35)</f>
        <v>0</v>
      </c>
      <c r="J36" s="89" t="n">
        <f aca="false">SUM(J32:J35)</f>
        <v>0</v>
      </c>
      <c r="K36" s="89" t="n">
        <f aca="false">SUM(K32:K35)</f>
        <v>0</v>
      </c>
      <c r="L36" s="89" t="n">
        <f aca="false">SUM(B36:K36)</f>
        <v>0</v>
      </c>
    </row>
    <row r="37" customFormat="false" ht="15" hidden="false" customHeight="false" outlineLevel="0" collapsed="false">
      <c r="A37" s="74"/>
      <c r="B37" s="24"/>
      <c r="C37" s="24"/>
      <c r="D37" s="24"/>
      <c r="E37" s="24"/>
      <c r="F37" s="101"/>
    </row>
    <row r="39" customFormat="false" ht="15" hidden="false" customHeight="false" outlineLevel="0" collapsed="false">
      <c r="A39" s="76" t="s">
        <v>105</v>
      </c>
      <c r="B39" s="76" t="s">
        <v>75</v>
      </c>
      <c r="C39" s="76"/>
      <c r="D39" s="76" t="s">
        <v>76</v>
      </c>
      <c r="E39" s="76" t="s">
        <v>77</v>
      </c>
      <c r="F39" s="76" t="s">
        <v>4</v>
      </c>
      <c r="G39" s="133" t="s">
        <v>106</v>
      </c>
      <c r="H39" s="133" t="s">
        <v>127</v>
      </c>
      <c r="I39" s="133" t="s">
        <v>108</v>
      </c>
      <c r="J39" s="133" t="s">
        <v>109</v>
      </c>
      <c r="K39" s="133" t="s">
        <v>110</v>
      </c>
      <c r="L39" s="133" t="s">
        <v>111</v>
      </c>
    </row>
    <row r="40" customFormat="false" ht="15" hidden="false" customHeight="true" outlineLevel="0" collapsed="false">
      <c r="A40" s="115"/>
      <c r="B40" s="91"/>
      <c r="C40" s="91"/>
      <c r="D40" s="110"/>
      <c r="E40" s="111"/>
      <c r="F40" s="112"/>
      <c r="G40" s="135"/>
      <c r="H40" s="135"/>
      <c r="I40" s="135"/>
      <c r="J40" s="135"/>
      <c r="K40" s="135"/>
      <c r="L40" s="166"/>
    </row>
    <row r="41" customFormat="false" ht="15" hidden="false" customHeight="true" outlineLevel="0" collapsed="false">
      <c r="A41" s="115"/>
      <c r="B41" s="115"/>
      <c r="C41" s="115"/>
      <c r="D41" s="110"/>
      <c r="E41" s="93"/>
      <c r="F41" s="112"/>
      <c r="G41" s="135"/>
      <c r="H41" s="135"/>
      <c r="I41" s="135"/>
      <c r="J41" s="135"/>
      <c r="K41" s="135"/>
      <c r="L41" s="140"/>
    </row>
    <row r="42" customFormat="false" ht="13.8" hidden="false" customHeight="false" outlineLevel="0" collapsed="false">
      <c r="A42" s="95"/>
      <c r="B42" s="96"/>
      <c r="C42" s="97"/>
      <c r="D42" s="92"/>
      <c r="E42" s="93"/>
      <c r="F42" s="112"/>
      <c r="G42" s="185"/>
      <c r="H42" s="135"/>
      <c r="I42" s="135"/>
      <c r="J42" s="135"/>
      <c r="K42" s="135"/>
      <c r="L42" s="140"/>
    </row>
    <row r="43" customFormat="false" ht="22.45" hidden="false" customHeight="true" outlineLevel="0" collapsed="false">
      <c r="A43" s="99"/>
      <c r="B43" s="91"/>
      <c r="C43" s="91"/>
      <c r="D43" s="110"/>
      <c r="E43" s="111"/>
      <c r="F43" s="112"/>
      <c r="G43" s="135"/>
      <c r="H43" s="135"/>
      <c r="I43" s="135"/>
      <c r="J43" s="135"/>
      <c r="K43" s="135"/>
      <c r="L43" s="140"/>
    </row>
    <row r="44" customFormat="false" ht="13.8" hidden="false" customHeight="false" outlineLevel="0" collapsed="false">
      <c r="A44" s="95"/>
      <c r="B44" s="96"/>
      <c r="C44" s="97"/>
      <c r="D44" s="92"/>
      <c r="E44" s="93"/>
      <c r="F44" s="112"/>
      <c r="G44" s="135"/>
      <c r="H44" s="241"/>
      <c r="I44" s="241"/>
      <c r="J44" s="230"/>
      <c r="K44" s="135"/>
      <c r="L44" s="166"/>
    </row>
    <row r="45" customFormat="false" ht="13.8" hidden="false" customHeight="false" outlineLevel="0" collapsed="false">
      <c r="A45" s="95"/>
      <c r="B45" s="91"/>
      <c r="C45" s="91"/>
      <c r="D45" s="153"/>
      <c r="E45" s="93"/>
      <c r="F45" s="94"/>
      <c r="G45" s="135"/>
      <c r="H45" s="135"/>
      <c r="I45" s="135"/>
      <c r="J45" s="135"/>
      <c r="K45" s="135"/>
      <c r="L45" s="166"/>
    </row>
    <row r="46" customFormat="false" ht="15" hidden="false" customHeight="false" outlineLevel="0" collapsed="false">
      <c r="A46" s="95"/>
      <c r="B46" s="91"/>
      <c r="C46" s="91"/>
      <c r="D46" s="153"/>
      <c r="E46" s="93"/>
      <c r="F46" s="94"/>
      <c r="L46" s="140"/>
    </row>
    <row r="47" customFormat="false" ht="15" hidden="false" customHeight="false" outlineLevel="0" collapsed="false">
      <c r="A47" s="95"/>
      <c r="B47" s="91"/>
      <c r="C47" s="91"/>
      <c r="D47" s="153"/>
      <c r="E47" s="93"/>
      <c r="F47" s="94"/>
      <c r="L47" s="140"/>
    </row>
    <row r="48" customFormat="false" ht="15" hidden="false" customHeight="false" outlineLevel="0" collapsed="false">
      <c r="A48" s="141"/>
      <c r="B48" s="91"/>
      <c r="C48" s="91"/>
      <c r="D48" s="153"/>
      <c r="E48" s="93"/>
      <c r="F48" s="94"/>
      <c r="G48" s="142"/>
      <c r="L48" s="140"/>
    </row>
    <row r="49" customFormat="false" ht="15" hidden="false" customHeight="false" outlineLevel="0" collapsed="false">
      <c r="A49" s="95"/>
      <c r="B49" s="91"/>
      <c r="C49" s="91"/>
      <c r="D49" s="153"/>
      <c r="E49" s="93"/>
      <c r="F49" s="94"/>
      <c r="L49" s="140"/>
    </row>
    <row r="50" customFormat="false" ht="15" hidden="false" customHeight="false" outlineLevel="0" collapsed="false">
      <c r="A50" s="95"/>
      <c r="B50" s="91"/>
      <c r="C50" s="91"/>
      <c r="D50" s="153"/>
      <c r="E50" s="93"/>
      <c r="F50" s="94"/>
      <c r="L50" s="140"/>
    </row>
    <row r="51" customFormat="false" ht="15" hidden="false" customHeight="false" outlineLevel="0" collapsed="false">
      <c r="A51" s="95"/>
      <c r="B51" s="91"/>
      <c r="C51" s="91"/>
      <c r="D51" s="153"/>
      <c r="E51" s="93"/>
      <c r="F51" s="94"/>
      <c r="L51" s="140"/>
    </row>
    <row r="52" customFormat="false" ht="15" hidden="false" customHeight="false" outlineLevel="0" collapsed="false">
      <c r="A52" s="95"/>
      <c r="B52" s="91"/>
      <c r="C52" s="91"/>
      <c r="D52" s="153"/>
      <c r="E52" s="93"/>
      <c r="F52" s="94"/>
      <c r="L52" s="140"/>
    </row>
    <row r="53" customFormat="false" ht="15" hidden="false" customHeight="false" outlineLevel="0" collapsed="false">
      <c r="A53" s="95"/>
      <c r="B53" s="91"/>
      <c r="C53" s="91"/>
      <c r="D53" s="153"/>
      <c r="E53" s="93"/>
      <c r="F53" s="94"/>
      <c r="L53" s="140"/>
    </row>
    <row r="54" customFormat="false" ht="15" hidden="false" customHeight="false" outlineLevel="0" collapsed="false">
      <c r="A54" s="95"/>
      <c r="B54" s="91"/>
      <c r="C54" s="91"/>
      <c r="D54" s="153"/>
      <c r="E54" s="93"/>
      <c r="F54" s="94"/>
      <c r="L54" s="140"/>
    </row>
    <row r="55" customFormat="false" ht="15" hidden="false" customHeight="false" outlineLevel="0" collapsed="false">
      <c r="A55" s="95"/>
      <c r="B55" s="91"/>
      <c r="C55" s="91"/>
      <c r="D55" s="153"/>
      <c r="E55" s="93"/>
      <c r="F55" s="94"/>
      <c r="L55" s="140"/>
    </row>
    <row r="56" customFormat="false" ht="15" hidden="false" customHeight="false" outlineLevel="0" collapsed="false">
      <c r="A56" s="95"/>
      <c r="B56" s="91"/>
      <c r="C56" s="91"/>
      <c r="D56" s="153"/>
      <c r="E56" s="93"/>
      <c r="F56" s="94"/>
      <c r="L56" s="140"/>
    </row>
    <row r="57" customFormat="false" ht="15" hidden="false" customHeight="false" outlineLevel="0" collapsed="false">
      <c r="A57" s="95"/>
      <c r="B57" s="91"/>
      <c r="C57" s="91"/>
      <c r="D57" s="153"/>
      <c r="E57" s="93"/>
      <c r="F57" s="94"/>
      <c r="L57" s="140"/>
    </row>
  </sheetData>
  <mergeCells count="29"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39:C39"/>
    <mergeCell ref="B40:C40"/>
    <mergeCell ref="B41:C41"/>
    <mergeCell ref="B43:C43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</mergeCells>
  <dataValidations count="4">
    <dataValidation allowBlank="true" operator="equal" showDropDown="false" showErrorMessage="true" showInputMessage="true" sqref="D13:D16 D20:D24 D40:D57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13:E16 E20:E24 E40:E57" type="list">
      <formula1>"1,2,3,4,5,6,7,8,9,10"</formula1>
      <formula2>0</formula2>
    </dataValidation>
    <dataValidation allowBlank="true" operator="equal" showDropDown="false" showErrorMessage="true" showInputMessage="true" sqref="D17:D19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17:E19" type="list">
      <formula1>"1,2,3,4,5,6,7,8,9,10"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RowHeight="15" zeroHeight="false" outlineLevelRow="0" outlineLevelCol="0"/>
  <cols>
    <col collapsed="false" customWidth="true" hidden="false" outlineLevel="0" max="1" min="1" style="0" width="32.42"/>
    <col collapsed="false" customWidth="true" hidden="false" outlineLevel="0" max="4" min="2" style="0" width="18.71"/>
    <col collapsed="false" customWidth="true" hidden="false" outlineLevel="0" max="5" min="5" style="0" width="16.87"/>
    <col collapsed="false" customWidth="true" hidden="false" outlineLevel="0" max="6" min="6" style="0" width="17.29"/>
    <col collapsed="false" customWidth="true" hidden="false" outlineLevel="0" max="7" min="7" style="0" width="16.87"/>
    <col collapsed="false" customWidth="true" hidden="false" outlineLevel="0" max="8" min="8" style="0" width="17"/>
    <col collapsed="false" customWidth="true" hidden="false" outlineLevel="0" max="9" min="9" style="0" width="15.71"/>
    <col collapsed="false" customWidth="true" hidden="false" outlineLevel="0" max="10" min="10" style="0" width="15.15"/>
    <col collapsed="false" customWidth="true" hidden="false" outlineLevel="0" max="11" min="11" style="0" width="15.88"/>
    <col collapsed="false" customWidth="true" hidden="false" outlineLevel="0" max="12" min="12" style="0" width="13.86"/>
    <col collapsed="false" customWidth="true" hidden="false" outlineLevel="0" max="1025" min="13" style="0" width="10.65"/>
  </cols>
  <sheetData>
    <row r="1" customFormat="false" ht="15" hidden="false" customHeight="false" outlineLevel="0" collapsed="false">
      <c r="G1" s="83"/>
    </row>
    <row r="2" customFormat="false" ht="21" hidden="false" customHeight="false" outlineLevel="0" collapsed="false">
      <c r="A2" s="1" t="s">
        <v>208</v>
      </c>
    </row>
    <row r="3" customFormat="false" ht="15" hidden="false" customHeight="false" outlineLevel="0" collapsed="false">
      <c r="A3" s="84"/>
      <c r="B3" s="84" t="s">
        <v>59</v>
      </c>
      <c r="C3" s="84" t="s">
        <v>60</v>
      </c>
      <c r="D3" s="84" t="s">
        <v>61</v>
      </c>
      <c r="E3" s="84" t="s">
        <v>62</v>
      </c>
      <c r="F3" s="84" t="s">
        <v>63</v>
      </c>
      <c r="G3" s="84" t="s">
        <v>64</v>
      </c>
      <c r="H3" s="84" t="s">
        <v>65</v>
      </c>
      <c r="I3" s="84" t="s">
        <v>66</v>
      </c>
      <c r="J3" s="84" t="s">
        <v>67</v>
      </c>
      <c r="K3" s="84" t="s">
        <v>68</v>
      </c>
      <c r="L3" s="84" t="s">
        <v>14</v>
      </c>
    </row>
    <row r="4" customFormat="false" ht="15" hidden="false" customHeight="false" outlineLevel="0" collapsed="false">
      <c r="A4" s="85"/>
      <c r="B4" s="146" t="s">
        <v>209</v>
      </c>
      <c r="C4" s="146" t="s">
        <v>73</v>
      </c>
      <c r="D4" s="146" t="s">
        <v>73</v>
      </c>
      <c r="E4" s="146" t="s">
        <v>73</v>
      </c>
      <c r="F4" s="146" t="s">
        <v>73</v>
      </c>
      <c r="G4" s="146" t="s">
        <v>73</v>
      </c>
      <c r="H4" s="146" t="s">
        <v>73</v>
      </c>
      <c r="I4" s="146" t="s">
        <v>73</v>
      </c>
      <c r="J4" s="146" t="s">
        <v>73</v>
      </c>
      <c r="K4" s="146" t="s">
        <v>73</v>
      </c>
      <c r="L4" s="85"/>
    </row>
    <row r="5" customFormat="false" ht="15" hidden="false" customHeight="false" outlineLevel="0" collapsed="false">
      <c r="A5" s="60" t="s">
        <v>48</v>
      </c>
      <c r="B5" s="87" t="n">
        <f aca="false">SUMIFS($F13:$F22,$D13:$D22,"Staff costs",$E13:$E22,"1")</f>
        <v>5200</v>
      </c>
      <c r="C5" s="87" t="n">
        <f aca="false">SUMIFS($F13:$F22,$D13:$D22,"Staff costs",$E13:$E22,"2")</f>
        <v>0</v>
      </c>
      <c r="D5" s="87" t="n">
        <f aca="false">SUMIFS($F13:$F22,$D13:$D22,"Staff costs",$E13:$E22,"3")</f>
        <v>0</v>
      </c>
      <c r="E5" s="87" t="n">
        <f aca="false">SUMIFS($F13:$F22,$D13:$D22,"Staff costs",$E13:$E22,"4")</f>
        <v>0</v>
      </c>
      <c r="F5" s="87" t="n">
        <f aca="false">SUMIFS($F13:$F22,$D13:$D22,"Staff costs",$E13:$E22,"5")</f>
        <v>0</v>
      </c>
      <c r="G5" s="87" t="n">
        <f aca="false">SUMIFS($F13:$F22,$D13:$D22,"Staff costs",$E13:$E22,"6")</f>
        <v>0</v>
      </c>
      <c r="H5" s="87" t="n">
        <f aca="false">SUMIFS($F13:$F22,$D13:$D22,"Staff costs",$E13:$E22,"7")</f>
        <v>0</v>
      </c>
      <c r="I5" s="87" t="n">
        <f aca="false">SUMIFS($F13:$F22,$D13:$D22,"Staff costs",$E13:$E22,"8")</f>
        <v>0</v>
      </c>
      <c r="J5" s="87" t="n">
        <f aca="false">SUMIFS($F13:$F22,$D13:$D22,"Staff costs",$E13:$E22,"9")</f>
        <v>0</v>
      </c>
      <c r="K5" s="87" t="n">
        <f aca="false">SUMIFS($F13:$F22,$D13:$D22,"Staff costs",$E13:$E22,"10")</f>
        <v>0</v>
      </c>
      <c r="L5" s="87" t="n">
        <f aca="false">SUM(B5:K5)</f>
        <v>5200</v>
      </c>
    </row>
    <row r="6" customFormat="false" ht="15" hidden="false" customHeight="false" outlineLevel="0" collapsed="false">
      <c r="A6" s="60" t="s">
        <v>50</v>
      </c>
      <c r="B6" s="87" t="n">
        <f aca="false">SUMIFS($F13:$F22,$D13:$D22,"Management",$E13:$E22,"1")</f>
        <v>3000</v>
      </c>
      <c r="C6" s="87" t="n">
        <f aca="false">SUMIFS($F13:$F22,$D13:$D22,"Management",$E13:$E22,"2")</f>
        <v>0</v>
      </c>
      <c r="D6" s="87" t="n">
        <f aca="false">SUMIFS($F13:$F22,$D13:$D22,"Management",$E13:$E22,"3")</f>
        <v>0</v>
      </c>
      <c r="E6" s="87" t="n">
        <f aca="false">SUMIFS($F13:$F22,$D13:$D22,"Management",$E13:$E22,"4")</f>
        <v>0</v>
      </c>
      <c r="F6" s="87" t="n">
        <f aca="false">SUMIFS($F13:$F22,$D13:$D22,"Management",$E13:$E22,"5")</f>
        <v>0</v>
      </c>
      <c r="G6" s="87" t="n">
        <f aca="false">SUMIFS($F13:$F22,$D13:$D22,"Management",$E13:$E22,"6")</f>
        <v>0</v>
      </c>
      <c r="H6" s="87" t="n">
        <f aca="false">SUMIFS($F13:$F22,$D13:$D22,"Management",$E13:$E22,"7")</f>
        <v>0</v>
      </c>
      <c r="I6" s="87" t="n">
        <f aca="false">SUMIFS($F13:$F22,$D13:$D22,"Management",$E13:$E22,"8")</f>
        <v>0</v>
      </c>
      <c r="J6" s="87" t="n">
        <f aca="false">SUMIFS($F13:$F22,$D13:$D22,"Management",$E13:$E22,"9")</f>
        <v>0</v>
      </c>
      <c r="K6" s="87" t="n">
        <f aca="false">SUMIFS($F13:$F22,$D13:$D22,"Management",$E13:$E22,"10")</f>
        <v>0</v>
      </c>
      <c r="L6" s="87" t="n">
        <f aca="false">SUM(B6:K6)</f>
        <v>3000</v>
      </c>
    </row>
    <row r="7" customFormat="false" ht="15" hidden="false" customHeight="false" outlineLevel="0" collapsed="false">
      <c r="A7" s="60" t="s">
        <v>52</v>
      </c>
      <c r="B7" s="87" t="n">
        <f aca="false">SUMIFS($F13:$F22,$D13:$D22,"Research stays",$E13:$E22,"1")</f>
        <v>4880</v>
      </c>
      <c r="C7" s="87" t="n">
        <f aca="false">SUMIFS($F13:$F22,$D13:$D22,"Research stays",$E13:$E22,"2")</f>
        <v>0</v>
      </c>
      <c r="D7" s="87" t="n">
        <f aca="false">SUMIFS($F13:$F22,$D13:$D22,"Research stays",$E13:$E22,"3")</f>
        <v>0</v>
      </c>
      <c r="E7" s="87" t="n">
        <f aca="false">SUMIFS($F13:$F22,$D13:$D22,"Research stays",$E13:$E22,"4")</f>
        <v>0</v>
      </c>
      <c r="F7" s="87" t="n">
        <f aca="false">SUMIFS($F13:$F22,$D13:$D22,"Research stays",$E13:$E22,"5")</f>
        <v>0</v>
      </c>
      <c r="G7" s="87" t="n">
        <f aca="false">SUMIFS($F13:$F22,$D13:$D22,"Research stays",$E13:$E22,"6")</f>
        <v>0</v>
      </c>
      <c r="H7" s="87" t="n">
        <f aca="false">SUMIFS($F13:$F22,$D13:$D22,"Research stays",$E13:$E22,"7")</f>
        <v>0</v>
      </c>
      <c r="I7" s="87" t="n">
        <f aca="false">SUMIFS($F13:$F22,$D13:$D22,"Research stays",$E13:$E22,"8")</f>
        <v>0</v>
      </c>
      <c r="J7" s="87" t="n">
        <f aca="false">SUMIFS($F13:$F22,$D13:$D22,"Research stays",$E13:$E22,"9")</f>
        <v>0</v>
      </c>
      <c r="K7" s="87" t="n">
        <f aca="false">SUMIFS($F13:$F22,$D13:$D22,"Research stays",$E13:$E22,"10")</f>
        <v>0</v>
      </c>
      <c r="L7" s="87" t="n">
        <f aca="false">SUM(B7:K7)</f>
        <v>4880</v>
      </c>
    </row>
    <row r="8" customFormat="false" ht="15.75" hidden="false" customHeight="false" outlineLevel="0" collapsed="false">
      <c r="A8" s="60" t="s">
        <v>53</v>
      </c>
      <c r="B8" s="88" t="n">
        <v>1000</v>
      </c>
      <c r="C8" s="88" t="n">
        <f aca="false">SUMIFS($F13:$F22,$D13:$D22,"Meetings &amp; events",$E13:$E22,"2")</f>
        <v>0</v>
      </c>
      <c r="D8" s="88" t="n">
        <f aca="false">SUMIFS($F13:$F22,$D13:$D22,"Meetings &amp; events",$E13:$E22,"3")</f>
        <v>0</v>
      </c>
      <c r="E8" s="88" t="n">
        <f aca="false">SUMIFS($F13:$F22,$D13:$D22,"Meetings &amp; events",$E13:$E22,"4")</f>
        <v>0</v>
      </c>
      <c r="F8" s="88" t="n">
        <f aca="false">SUMIFS($F13:$F22,$D13:$D22,"Meetings &amp; events",$E13:$E22,"5")</f>
        <v>0</v>
      </c>
      <c r="G8" s="88" t="n">
        <f aca="false">SUMIFS($F13:$F22,$D13:$D22,"Meetings &amp; events",$E13:$E22,"6")</f>
        <v>0</v>
      </c>
      <c r="H8" s="88" t="n">
        <f aca="false">SUMIFS($F13:$F22,$D13:$D22,"Meetings &amp; events",$E13:$E22,"7")</f>
        <v>0</v>
      </c>
      <c r="I8" s="88" t="n">
        <f aca="false">SUMIFS($F13:$F22,$D13:$D22,"Meetings &amp; events",$E13:$E22,"8")</f>
        <v>0</v>
      </c>
      <c r="J8" s="88" t="n">
        <f aca="false">SUMIFS($F13:$F22,$D13:$D22,"Meetings &amp; events",$E13:$E22,"9")</f>
        <v>0</v>
      </c>
      <c r="K8" s="88" t="n">
        <f aca="false">SUMIFS($F13:$F22,$D13:$D22,"Meetings &amp; events",$E13:$E22,"10")</f>
        <v>0</v>
      </c>
      <c r="L8" s="88" t="n">
        <f aca="false">SUM(B8:K8)</f>
        <v>1000</v>
      </c>
    </row>
    <row r="9" customFormat="false" ht="15" hidden="false" customHeight="false" outlineLevel="0" collapsed="false">
      <c r="A9" s="70" t="s">
        <v>14</v>
      </c>
      <c r="B9" s="89" t="n">
        <f aca="false">SUM(B5:B8)</f>
        <v>14080</v>
      </c>
      <c r="C9" s="89" t="n">
        <f aca="false">SUM(C5:C8)</f>
        <v>0</v>
      </c>
      <c r="D9" s="89" t="n">
        <f aca="false">SUM(D5:D8)</f>
        <v>0</v>
      </c>
      <c r="E9" s="89" t="n">
        <f aca="false">SUM(E5:E8)</f>
        <v>0</v>
      </c>
      <c r="F9" s="89" t="n">
        <f aca="false">SUM(F5:F8)</f>
        <v>0</v>
      </c>
      <c r="G9" s="89" t="n">
        <f aca="false">SUM(G5:G8)</f>
        <v>0</v>
      </c>
      <c r="H9" s="89" t="n">
        <f aca="false">SUM(H5:H8)</f>
        <v>0</v>
      </c>
      <c r="I9" s="89" t="n">
        <f aca="false">SUM(I5:I8)</f>
        <v>0</v>
      </c>
      <c r="J9" s="89" t="n">
        <f aca="false">SUM(J5:J8)</f>
        <v>0</v>
      </c>
      <c r="K9" s="89" t="n">
        <f aca="false">SUM(K5:K8)</f>
        <v>0</v>
      </c>
      <c r="L9" s="89" t="n">
        <f aca="false">SUM(B9:K9)</f>
        <v>14080</v>
      </c>
    </row>
    <row r="10" customFormat="false" ht="15" hidden="false" customHeight="false" outlineLevel="0" collapsed="false">
      <c r="A10" s="74"/>
      <c r="B10" s="24"/>
      <c r="C10" s="24"/>
      <c r="D10" s="24"/>
      <c r="E10" s="24"/>
      <c r="F10" s="101"/>
    </row>
    <row r="12" customFormat="false" ht="15" hidden="false" customHeight="false" outlineLevel="0" collapsed="false">
      <c r="A12" s="57" t="s">
        <v>74</v>
      </c>
      <c r="B12" s="57" t="s">
        <v>75</v>
      </c>
      <c r="C12" s="57"/>
      <c r="D12" s="57" t="s">
        <v>76</v>
      </c>
      <c r="E12" s="57" t="s">
        <v>77</v>
      </c>
      <c r="F12" s="57" t="s">
        <v>78</v>
      </c>
      <c r="H12" s="147"/>
    </row>
    <row r="13" customFormat="false" ht="15" hidden="false" customHeight="true" outlineLevel="0" collapsed="false">
      <c r="A13" s="90" t="s">
        <v>210</v>
      </c>
      <c r="B13" s="91" t="s">
        <v>202</v>
      </c>
      <c r="C13" s="91"/>
      <c r="D13" s="92" t="s">
        <v>81</v>
      </c>
      <c r="E13" s="93" t="n">
        <v>1</v>
      </c>
      <c r="F13" s="94" t="n">
        <v>5200</v>
      </c>
    </row>
    <row r="14" customFormat="false" ht="15" hidden="false" customHeight="false" outlineLevel="0" collapsed="false">
      <c r="A14" s="91"/>
      <c r="B14" s="96"/>
      <c r="C14" s="97"/>
      <c r="D14" s="92"/>
      <c r="E14" s="93"/>
      <c r="F14" s="94"/>
    </row>
    <row r="15" customFormat="false" ht="15.75" hidden="false" customHeight="true" outlineLevel="0" collapsed="false">
      <c r="A15" s="242" t="s">
        <v>205</v>
      </c>
      <c r="B15" s="152" t="s">
        <v>211</v>
      </c>
      <c r="C15" s="152"/>
      <c r="D15" s="110" t="s">
        <v>93</v>
      </c>
      <c r="E15" s="111" t="n">
        <v>1</v>
      </c>
      <c r="F15" s="112" t="n">
        <v>2440</v>
      </c>
      <c r="G15" s="243"/>
    </row>
    <row r="16" customFormat="false" ht="15.75" hidden="false" customHeight="true" outlineLevel="0" collapsed="false">
      <c r="A16" s="108" t="s">
        <v>205</v>
      </c>
      <c r="B16" s="115" t="s">
        <v>211</v>
      </c>
      <c r="C16" s="115"/>
      <c r="D16" s="110" t="s">
        <v>93</v>
      </c>
      <c r="E16" s="111" t="n">
        <v>1</v>
      </c>
      <c r="F16" s="112" t="n">
        <v>2440</v>
      </c>
      <c r="G16" s="243"/>
    </row>
    <row r="17" customFormat="false" ht="15" hidden="false" customHeight="false" outlineLevel="0" collapsed="false">
      <c r="A17" s="91"/>
      <c r="B17" s="91"/>
      <c r="C17" s="91"/>
      <c r="D17" s="92"/>
      <c r="E17" s="93"/>
      <c r="F17" s="94"/>
    </row>
    <row r="18" customFormat="false" ht="15" hidden="false" customHeight="true" outlineLevel="0" collapsed="false">
      <c r="A18" s="90" t="s">
        <v>82</v>
      </c>
      <c r="B18" s="98" t="s">
        <v>124</v>
      </c>
      <c r="C18" s="98"/>
      <c r="D18" s="92" t="s">
        <v>84</v>
      </c>
      <c r="E18" s="93" t="n">
        <v>1</v>
      </c>
      <c r="F18" s="244" t="n">
        <v>3000</v>
      </c>
      <c r="G18" s="0" t="s">
        <v>85</v>
      </c>
    </row>
    <row r="19" customFormat="false" ht="15" hidden="false" customHeight="false" outlineLevel="0" collapsed="false">
      <c r="A19" s="95"/>
      <c r="B19" s="91"/>
      <c r="C19" s="91"/>
      <c r="D19" s="153"/>
      <c r="E19" s="93"/>
      <c r="F19" s="94"/>
    </row>
    <row r="20" customFormat="false" ht="15" hidden="false" customHeight="false" outlineLevel="0" collapsed="false">
      <c r="A20" s="91"/>
      <c r="B20" s="163"/>
      <c r="C20" s="163"/>
      <c r="D20" s="92"/>
      <c r="E20" s="93"/>
      <c r="F20" s="94"/>
      <c r="G20" s="117"/>
    </row>
    <row r="21" customFormat="false" ht="15" hidden="false" customHeight="false" outlineLevel="0" collapsed="false">
      <c r="A21" s="91"/>
      <c r="B21" s="163"/>
      <c r="C21" s="163"/>
      <c r="D21" s="92"/>
      <c r="E21" s="93"/>
      <c r="F21" s="94"/>
    </row>
    <row r="22" customFormat="false" ht="15" hidden="false" customHeight="false" outlineLevel="0" collapsed="false">
      <c r="A22" s="95"/>
      <c r="B22" s="91"/>
      <c r="C22" s="91"/>
      <c r="D22" s="153"/>
      <c r="E22" s="93"/>
      <c r="F22" s="94"/>
    </row>
    <row r="23" customFormat="false" ht="15" hidden="false" customHeight="false" outlineLevel="0" collapsed="false">
      <c r="A23" s="127" t="s">
        <v>97</v>
      </c>
      <c r="B23" s="127"/>
      <c r="C23" s="127"/>
    </row>
    <row r="24" customFormat="false" ht="15" hidden="false" customHeight="false" outlineLevel="0" collapsed="false">
      <c r="A24" s="127" t="s">
        <v>98</v>
      </c>
      <c r="B24" s="128" t="s">
        <v>99</v>
      </c>
      <c r="C24" s="129" t="s">
        <v>100</v>
      </c>
    </row>
    <row r="27" customFormat="false" ht="21" hidden="false" customHeight="false" outlineLevel="0" collapsed="false">
      <c r="A27" s="1" t="s">
        <v>212</v>
      </c>
    </row>
    <row r="28" customFormat="false" ht="15" hidden="false" customHeight="false" outlineLevel="0" collapsed="false">
      <c r="A28" s="130"/>
      <c r="B28" s="130" t="s">
        <v>59</v>
      </c>
      <c r="C28" s="130" t="s">
        <v>60</v>
      </c>
      <c r="D28" s="130" t="s">
        <v>61</v>
      </c>
      <c r="E28" s="130" t="s">
        <v>62</v>
      </c>
      <c r="F28" s="130" t="s">
        <v>63</v>
      </c>
      <c r="G28" s="130" t="s">
        <v>64</v>
      </c>
      <c r="H28" s="130" t="s">
        <v>65</v>
      </c>
      <c r="I28" s="130" t="s">
        <v>66</v>
      </c>
      <c r="J28" s="130" t="s">
        <v>67</v>
      </c>
      <c r="K28" s="130" t="s">
        <v>68</v>
      </c>
      <c r="L28" s="130" t="s">
        <v>14</v>
      </c>
    </row>
    <row r="29" customFormat="false" ht="15" hidden="false" customHeight="false" outlineLevel="0" collapsed="false">
      <c r="A29" s="131"/>
      <c r="B29" s="226" t="s">
        <v>209</v>
      </c>
      <c r="C29" s="226" t="s">
        <v>73</v>
      </c>
      <c r="D29" s="226" t="s">
        <v>73</v>
      </c>
      <c r="E29" s="226" t="s">
        <v>73</v>
      </c>
      <c r="F29" s="226" t="s">
        <v>73</v>
      </c>
      <c r="G29" s="226" t="s">
        <v>73</v>
      </c>
      <c r="H29" s="226" t="s">
        <v>73</v>
      </c>
      <c r="I29" s="226" t="s">
        <v>73</v>
      </c>
      <c r="J29" s="226" t="s">
        <v>73</v>
      </c>
      <c r="K29" s="226" t="s">
        <v>73</v>
      </c>
      <c r="L29" s="131"/>
    </row>
    <row r="30" customFormat="false" ht="15" hidden="false" customHeight="false" outlineLevel="0" collapsed="false">
      <c r="A30" s="78" t="s">
        <v>81</v>
      </c>
      <c r="B30" s="87" t="n">
        <f aca="false">SUMIFS($F38:$F57,$D38:$D57,"Staff costs",$E38:$E57,"1")</f>
        <v>0</v>
      </c>
      <c r="C30" s="87" t="n">
        <f aca="false">SUMIFS($F38:$F57,$D38:$D57,"Staff costs",$E38:$E57,"2")</f>
        <v>0</v>
      </c>
      <c r="D30" s="87" t="n">
        <f aca="false">SUMIFS($F38:$F57,$D38:$D57,"Staff costs",$E38:$E57,"3")</f>
        <v>0</v>
      </c>
      <c r="E30" s="87" t="n">
        <f aca="false">SUMIFS($F38:$F57,$D38:$D57,"Staff costs",$E38:$E57,"4")</f>
        <v>0</v>
      </c>
      <c r="F30" s="87" t="n">
        <f aca="false">SUMIFS($F38:$F57,$D38:$D57,"Staff costs",$E38:$E57,"5")</f>
        <v>0</v>
      </c>
      <c r="G30" s="87" t="n">
        <f aca="false">SUMIFS($F38:$F57,$D38:$D57,"Staff costs",$E38:$E57,"6")</f>
        <v>0</v>
      </c>
      <c r="H30" s="87" t="n">
        <f aca="false">SUMIFS($F38:$F57,$D38:$D57,"Staff costs",$E38:$E57,"7")</f>
        <v>0</v>
      </c>
      <c r="I30" s="87" t="n">
        <f aca="false">SUMIFS($F38:$F57,$D38:$D57,"Staff costs",$E38:$E57,"8")</f>
        <v>0</v>
      </c>
      <c r="J30" s="87" t="n">
        <f aca="false">SUMIFS($F38:$F57,$D38:$D57,"Staff costs",$E38:$E57,"9")</f>
        <v>0</v>
      </c>
      <c r="K30" s="87" t="n">
        <f aca="false">SUMIFS($F38:$F57,$D38:$D57,"Staff costs",$E38:$E57,"10")</f>
        <v>0</v>
      </c>
      <c r="L30" s="87" t="n">
        <f aca="false">SUM(B30:K30)</f>
        <v>0</v>
      </c>
    </row>
    <row r="31" customFormat="false" ht="15" hidden="false" customHeight="false" outlineLevel="0" collapsed="false">
      <c r="A31" s="78" t="s">
        <v>50</v>
      </c>
      <c r="B31" s="87" t="n">
        <f aca="false">SUMIFS($F38:$F57,$D38:$D57,"Management",$E38:$E57,"1")</f>
        <v>0</v>
      </c>
      <c r="C31" s="87" t="n">
        <f aca="false">SUMIFS($F38:$F57,$D38:$D57,"Management",$E38:$E57,"2")</f>
        <v>0</v>
      </c>
      <c r="D31" s="87" t="n">
        <f aca="false">SUMIFS($F38:$F57,$D38:$D57,"Management",$E38:$E57,"3")</f>
        <v>0</v>
      </c>
      <c r="E31" s="87" t="n">
        <f aca="false">SUMIFS($F38:$F57,$D38:$D57,"Management",$E38:$E57,"4")</f>
        <v>0</v>
      </c>
      <c r="F31" s="87" t="n">
        <f aca="false">SUMIFS($F38:$F57,$D38:$D57,"Management",$E38:$E57,"5")</f>
        <v>0</v>
      </c>
      <c r="G31" s="87" t="n">
        <f aca="false">SUMIFS($F38:$F57,$D38:$D57,"Management",$E38:$E57,"6")</f>
        <v>0</v>
      </c>
      <c r="H31" s="87" t="n">
        <f aca="false">SUMIFS($F38:$F57,$D38:$D57,"Management",$E38:$E57,"7")</f>
        <v>0</v>
      </c>
      <c r="I31" s="87" t="n">
        <f aca="false">SUMIFS($F38:$F57,$D38:$D57,"Management",$E38:$E57,"8")</f>
        <v>0</v>
      </c>
      <c r="J31" s="87" t="n">
        <f aca="false">SUMIFS($F38:$F57,$D38:$D57,"Management",$E38:$E57,"9")</f>
        <v>0</v>
      </c>
      <c r="K31" s="87" t="n">
        <f aca="false">SUMIFS($F38:$F57,$D38:$D57,"Management",$E38:$E57,"10")</f>
        <v>0</v>
      </c>
      <c r="L31" s="87" t="n">
        <f aca="false">SUM(B31:K31)</f>
        <v>0</v>
      </c>
    </row>
    <row r="32" customFormat="false" ht="15" hidden="false" customHeight="false" outlineLevel="0" collapsed="false">
      <c r="A32" s="78" t="s">
        <v>52</v>
      </c>
      <c r="B32" s="87" t="n">
        <f aca="false">SUMIFS($F38:$F57,$D38:$D57,"Research stays",$E38:$E57,"1")</f>
        <v>0</v>
      </c>
      <c r="C32" s="87" t="n">
        <f aca="false">SUMIFS($F38:$F57,$D38:$D57,"Research stays",$E38:$E57,"2")</f>
        <v>0</v>
      </c>
      <c r="D32" s="87" t="n">
        <f aca="false">SUMIFS($F38:$F57,$D38:$D57,"Research stays",$E38:$E57,"3")</f>
        <v>0</v>
      </c>
      <c r="E32" s="87" t="n">
        <f aca="false">SUMIFS($F38:$F57,$D38:$D57,"Research stays",$E38:$E57,"4")</f>
        <v>0</v>
      </c>
      <c r="F32" s="87" t="n">
        <f aca="false">SUMIFS($F38:$F57,$D38:$D57,"Research stays",$E38:$E57,"5")</f>
        <v>0</v>
      </c>
      <c r="G32" s="87" t="n">
        <f aca="false">SUMIFS($F38:$F57,$D38:$D57,"Research stays",$E38:$E57,"6")</f>
        <v>0</v>
      </c>
      <c r="H32" s="87" t="n">
        <f aca="false">SUMIFS($F38:$F57,$D38:$D57,"Research stays",$E38:$E57,"7")</f>
        <v>0</v>
      </c>
      <c r="I32" s="87" t="n">
        <f aca="false">SUMIFS($F38:$F57,$D38:$D57,"Research stays",$E38:$E57,"8")</f>
        <v>0</v>
      </c>
      <c r="J32" s="87" t="n">
        <f aca="false">SUMIFS($F38:$F57,$D38:$D57,"Research stays",$E38:$E57,"9")</f>
        <v>0</v>
      </c>
      <c r="K32" s="87" t="n">
        <f aca="false">SUMIFS($F38:$F57,$D38:$D57,"Research stays",$E38:$E57,"10")</f>
        <v>0</v>
      </c>
      <c r="L32" s="87" t="n">
        <f aca="false">SUM(B32:K32)</f>
        <v>0</v>
      </c>
    </row>
    <row r="33" customFormat="false" ht="15.75" hidden="false" customHeight="false" outlineLevel="0" collapsed="false">
      <c r="A33" s="78" t="s">
        <v>53</v>
      </c>
      <c r="B33" s="88" t="n">
        <f aca="false">SUMIFS($F38:$F57,$D38:$D57,"Meetings &amp; events",$E38:$E57,"1")</f>
        <v>0</v>
      </c>
      <c r="C33" s="88" t="n">
        <f aca="false">SUMIFS($F38:$F57,$D38:$D57,"Meetings &amp; events",$E38:$E57,"2")</f>
        <v>0</v>
      </c>
      <c r="D33" s="88" t="n">
        <f aca="false">SUMIFS($F38:$F57,$D38:$D57,"Meetings &amp; events",$E38:$E57,"3")</f>
        <v>0</v>
      </c>
      <c r="E33" s="88" t="n">
        <f aca="false">SUMIFS($F38:$F57,$D38:$D57,"Meetings &amp; events",$E38:$E57,"4")</f>
        <v>0</v>
      </c>
      <c r="F33" s="88" t="n">
        <f aca="false">SUMIFS($F38:$F57,$D38:$D57,"Meetings &amp; events",$E38:$E57,"5")</f>
        <v>0</v>
      </c>
      <c r="G33" s="88" t="n">
        <f aca="false">SUMIFS($F38:$F57,$D38:$D57,"Meetings &amp; events",$E38:$E57,"6")</f>
        <v>0</v>
      </c>
      <c r="H33" s="88" t="n">
        <f aca="false">SUMIFS($F38:$F57,$D38:$D57,"Meetings &amp; events",$E38:$E57,"7")</f>
        <v>0</v>
      </c>
      <c r="I33" s="88" t="n">
        <f aca="false">SUMIFS($F38:$F57,$D38:$D57,"Meetings &amp; events",$E38:$E57,"8")</f>
        <v>0</v>
      </c>
      <c r="J33" s="88" t="n">
        <f aca="false">SUMIFS($F38:$F57,$D38:$D57,"Meetings &amp; events",$E38:$E57,"9")</f>
        <v>0</v>
      </c>
      <c r="K33" s="88" t="n">
        <f aca="false">SUMIFS($F38:$F57,$D38:$D57,"Meetings &amp; events",$E38:$E57,"10")</f>
        <v>0</v>
      </c>
      <c r="L33" s="88" t="n">
        <f aca="false">SUM(B33:K33)</f>
        <v>0</v>
      </c>
    </row>
    <row r="34" customFormat="false" ht="15" hidden="false" customHeight="false" outlineLevel="0" collapsed="false">
      <c r="A34" s="81" t="s">
        <v>14</v>
      </c>
      <c r="B34" s="89" t="n">
        <f aca="false">SUM(B30:B33)</f>
        <v>0</v>
      </c>
      <c r="C34" s="89" t="n">
        <f aca="false">SUM(C30:C33)</f>
        <v>0</v>
      </c>
      <c r="D34" s="89" t="n">
        <f aca="false">SUM(D30:D33)</f>
        <v>0</v>
      </c>
      <c r="E34" s="89" t="n">
        <f aca="false">SUM(E30:E33)</f>
        <v>0</v>
      </c>
      <c r="F34" s="89" t="n">
        <f aca="false">SUM(F30:F33)</f>
        <v>0</v>
      </c>
      <c r="G34" s="89" t="n">
        <f aca="false">SUM(G30:G33)</f>
        <v>0</v>
      </c>
      <c r="H34" s="89" t="n">
        <f aca="false">SUM(H30:H33)</f>
        <v>0</v>
      </c>
      <c r="I34" s="89" t="n">
        <f aca="false">SUM(I30:I33)</f>
        <v>0</v>
      </c>
      <c r="J34" s="89" t="n">
        <f aca="false">SUM(J30:J33)</f>
        <v>0</v>
      </c>
      <c r="K34" s="89" t="n">
        <f aca="false">SUM(K30:K33)</f>
        <v>0</v>
      </c>
      <c r="L34" s="89" t="n">
        <f aca="false">SUM(B34:K34)</f>
        <v>0</v>
      </c>
    </row>
    <row r="35" customFormat="false" ht="15" hidden="false" customHeight="false" outlineLevel="0" collapsed="false">
      <c r="A35" s="74"/>
      <c r="B35" s="24"/>
      <c r="C35" s="24"/>
      <c r="D35" s="24"/>
      <c r="E35" s="24"/>
      <c r="F35" s="101"/>
    </row>
    <row r="37" customFormat="false" ht="15" hidden="false" customHeight="false" outlineLevel="0" collapsed="false">
      <c r="A37" s="76" t="s">
        <v>105</v>
      </c>
      <c r="B37" s="76" t="s">
        <v>75</v>
      </c>
      <c r="C37" s="76"/>
      <c r="D37" s="76" t="s">
        <v>76</v>
      </c>
      <c r="E37" s="76" t="s">
        <v>77</v>
      </c>
      <c r="F37" s="76" t="s">
        <v>4</v>
      </c>
      <c r="G37" s="133" t="s">
        <v>106</v>
      </c>
      <c r="H37" s="133" t="s">
        <v>127</v>
      </c>
      <c r="I37" s="133" t="s">
        <v>108</v>
      </c>
      <c r="J37" s="133" t="s">
        <v>109</v>
      </c>
      <c r="K37" s="133" t="s">
        <v>110</v>
      </c>
      <c r="L37" s="133" t="s">
        <v>111</v>
      </c>
    </row>
    <row r="38" customFormat="false" ht="13.8" hidden="false" customHeight="false" outlineLevel="0" collapsed="false">
      <c r="A38" s="95"/>
      <c r="B38" s="245"/>
      <c r="C38" s="245"/>
      <c r="D38" s="92"/>
      <c r="E38" s="93"/>
      <c r="F38" s="112"/>
      <c r="G38" s="135"/>
      <c r="H38" s="135"/>
      <c r="I38" s="135"/>
      <c r="J38" s="135"/>
      <c r="K38" s="135"/>
      <c r="L38" s="135"/>
    </row>
    <row r="39" customFormat="false" ht="15" hidden="false" customHeight="true" outlineLevel="0" collapsed="false">
      <c r="A39" s="95"/>
      <c r="B39" s="91"/>
      <c r="C39" s="91"/>
      <c r="D39" s="92"/>
      <c r="E39" s="93"/>
      <c r="F39" s="94"/>
      <c r="G39" s="135"/>
      <c r="H39" s="135"/>
      <c r="I39" s="135"/>
      <c r="J39" s="135"/>
      <c r="K39" s="135"/>
      <c r="L39" s="136"/>
    </row>
    <row r="40" customFormat="false" ht="15" hidden="false" customHeight="true" outlineLevel="0" collapsed="false">
      <c r="A40" s="95"/>
      <c r="B40" s="115"/>
      <c r="C40" s="115"/>
      <c r="D40" s="92"/>
      <c r="E40" s="93"/>
      <c r="F40" s="94"/>
      <c r="G40" s="135"/>
      <c r="H40" s="135"/>
      <c r="I40" s="135"/>
      <c r="J40" s="135"/>
      <c r="K40" s="135"/>
      <c r="L40" s="166"/>
    </row>
    <row r="41" customFormat="false" ht="13.8" hidden="false" customHeight="false" outlineLevel="0" collapsed="false">
      <c r="A41" s="95"/>
      <c r="B41" s="245"/>
      <c r="C41" s="245"/>
      <c r="D41" s="92"/>
      <c r="E41" s="93"/>
      <c r="F41" s="112"/>
      <c r="G41" s="135"/>
      <c r="H41" s="135"/>
      <c r="I41" s="135"/>
      <c r="J41" s="135"/>
      <c r="K41" s="135"/>
      <c r="L41" s="166"/>
    </row>
    <row r="42" customFormat="false" ht="13.8" hidden="false" customHeight="true" outlineLevel="0" collapsed="false">
      <c r="A42" s="95"/>
      <c r="B42" s="91"/>
      <c r="C42" s="91"/>
      <c r="D42" s="92"/>
      <c r="E42" s="93"/>
      <c r="F42" s="112"/>
      <c r="G42" s="135"/>
      <c r="H42" s="135"/>
      <c r="I42" s="135"/>
      <c r="J42" s="135"/>
      <c r="K42" s="135"/>
      <c r="L42" s="166"/>
    </row>
    <row r="43" customFormat="false" ht="15" hidden="false" customHeight="false" outlineLevel="0" collapsed="false">
      <c r="A43" s="95"/>
      <c r="B43" s="96"/>
      <c r="C43" s="97"/>
      <c r="D43" s="92"/>
      <c r="E43" s="93"/>
      <c r="F43" s="112"/>
      <c r="G43" s="135"/>
      <c r="H43" s="135"/>
      <c r="I43" s="135"/>
      <c r="J43" s="135"/>
      <c r="K43" s="135"/>
      <c r="L43" s="136"/>
    </row>
    <row r="44" customFormat="false" ht="15" hidden="false" customHeight="false" outlineLevel="0" collapsed="false">
      <c r="A44" s="95"/>
      <c r="B44" s="91"/>
      <c r="C44" s="91"/>
      <c r="D44" s="92"/>
      <c r="E44" s="93"/>
      <c r="F44" s="94"/>
      <c r="G44" s="135"/>
      <c r="H44" s="135"/>
      <c r="I44" s="135"/>
      <c r="J44" s="135"/>
      <c r="K44" s="135"/>
      <c r="L44" s="166"/>
    </row>
    <row r="45" customFormat="false" ht="15" hidden="false" customHeight="false" outlineLevel="0" collapsed="false">
      <c r="A45" s="95"/>
      <c r="B45" s="91"/>
      <c r="C45" s="91"/>
      <c r="D45" s="92"/>
      <c r="E45" s="93"/>
      <c r="F45" s="94"/>
      <c r="G45" s="135"/>
      <c r="H45" s="135"/>
      <c r="I45" s="135"/>
      <c r="J45" s="135"/>
      <c r="K45" s="135"/>
      <c r="L45" s="136"/>
    </row>
    <row r="46" customFormat="false" ht="15" hidden="false" customHeight="false" outlineLevel="0" collapsed="false">
      <c r="A46" s="95"/>
      <c r="B46" s="91"/>
      <c r="C46" s="91"/>
      <c r="D46" s="92"/>
      <c r="E46" s="93"/>
      <c r="F46" s="94"/>
      <c r="L46" s="136"/>
    </row>
    <row r="47" customFormat="false" ht="15" hidden="false" customHeight="false" outlineLevel="0" collapsed="false">
      <c r="A47" s="141"/>
      <c r="B47" s="91"/>
      <c r="C47" s="91"/>
      <c r="D47" s="92"/>
      <c r="E47" s="93"/>
      <c r="F47" s="94"/>
      <c r="G47" s="142"/>
      <c r="L47" s="136"/>
    </row>
    <row r="48" customFormat="false" ht="15" hidden="false" customHeight="false" outlineLevel="0" collapsed="false">
      <c r="A48" s="95"/>
      <c r="B48" s="91"/>
      <c r="C48" s="91"/>
      <c r="D48" s="92"/>
      <c r="E48" s="93"/>
      <c r="F48" s="94"/>
      <c r="L48" s="136"/>
    </row>
    <row r="49" customFormat="false" ht="15" hidden="false" customHeight="false" outlineLevel="0" collapsed="false">
      <c r="A49" s="95"/>
      <c r="B49" s="91"/>
      <c r="C49" s="91"/>
      <c r="D49" s="153"/>
      <c r="E49" s="93"/>
      <c r="F49" s="94"/>
      <c r="L49" s="140"/>
    </row>
    <row r="50" customFormat="false" ht="15" hidden="false" customHeight="false" outlineLevel="0" collapsed="false">
      <c r="A50" s="95"/>
      <c r="B50" s="91"/>
      <c r="C50" s="91"/>
      <c r="D50" s="153"/>
      <c r="E50" s="93"/>
      <c r="F50" s="94"/>
      <c r="L50" s="140"/>
    </row>
    <row r="51" customFormat="false" ht="15" hidden="false" customHeight="false" outlineLevel="0" collapsed="false">
      <c r="A51" s="95"/>
      <c r="B51" s="91"/>
      <c r="C51" s="91"/>
      <c r="D51" s="153"/>
      <c r="E51" s="93"/>
      <c r="F51" s="94"/>
    </row>
    <row r="52" customFormat="false" ht="15" hidden="false" customHeight="false" outlineLevel="0" collapsed="false">
      <c r="A52" s="95"/>
      <c r="B52" s="91"/>
      <c r="C52" s="91"/>
      <c r="D52" s="153"/>
      <c r="E52" s="93"/>
      <c r="F52" s="94"/>
    </row>
    <row r="53" customFormat="false" ht="15" hidden="false" customHeight="false" outlineLevel="0" collapsed="false">
      <c r="A53" s="95"/>
      <c r="B53" s="91"/>
      <c r="C53" s="91"/>
      <c r="D53" s="153"/>
      <c r="E53" s="93"/>
      <c r="F53" s="94"/>
    </row>
    <row r="54" customFormat="false" ht="15" hidden="false" customHeight="false" outlineLevel="0" collapsed="false">
      <c r="A54" s="95"/>
      <c r="B54" s="91"/>
      <c r="C54" s="91"/>
      <c r="D54" s="153"/>
      <c r="E54" s="93"/>
      <c r="F54" s="94"/>
    </row>
    <row r="55" customFormat="false" ht="15" hidden="false" customHeight="false" outlineLevel="0" collapsed="false">
      <c r="A55" s="95"/>
      <c r="B55" s="91"/>
      <c r="C55" s="91"/>
      <c r="D55" s="153"/>
      <c r="E55" s="93"/>
      <c r="F55" s="94"/>
    </row>
    <row r="56" customFormat="false" ht="15" hidden="false" customHeight="false" outlineLevel="0" collapsed="false">
      <c r="A56" s="95"/>
      <c r="B56" s="91"/>
      <c r="C56" s="91"/>
      <c r="D56" s="153"/>
      <c r="E56" s="93"/>
      <c r="F56" s="94"/>
    </row>
    <row r="57" customFormat="false" ht="15" hidden="false" customHeight="false" outlineLevel="0" collapsed="false">
      <c r="A57" s="95"/>
      <c r="B57" s="91"/>
      <c r="C57" s="91"/>
      <c r="D57" s="153"/>
      <c r="E57" s="93"/>
      <c r="F57" s="94"/>
    </row>
  </sheetData>
  <mergeCells count="30">
    <mergeCell ref="B12:C12"/>
    <mergeCell ref="B13:C13"/>
    <mergeCell ref="B15:C15"/>
    <mergeCell ref="B16:C16"/>
    <mergeCell ref="B17:C17"/>
    <mergeCell ref="B18:C18"/>
    <mergeCell ref="B19:C19"/>
    <mergeCell ref="B20:C20"/>
    <mergeCell ref="B21:C21"/>
    <mergeCell ref="B22:C22"/>
    <mergeCell ref="B37:C37"/>
    <mergeCell ref="B38:C38"/>
    <mergeCell ref="B39:C39"/>
    <mergeCell ref="B40:C40"/>
    <mergeCell ref="B41:C41"/>
    <mergeCell ref="B42:C42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</mergeCells>
  <dataValidations count="2">
    <dataValidation allowBlank="true" operator="equal" showDropDown="false" showErrorMessage="true" showInputMessage="true" sqref="D13:D22 D38:D57" type="list">
      <formula1>"Staff costs,Management,Research stays,Meetings &amp; events"</formula1>
      <formula2>0</formula2>
    </dataValidation>
    <dataValidation allowBlank="true" operator="equal" showDropDown="false" showErrorMessage="true" showInputMessage="true" sqref="E13:E22 E38:E57" type="list">
      <formula1>"1,2,3,4,5,6,7,8,9,10"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28159</TotalTime>
  <Application>LibreOffice/5.3.3.2$Linux_X86_64 LibreOffice_project/30m0$Build-2</Application>
  <Company>ZAMG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2013-01-30T15:14:27Z</dcterms:created>
  <dc:creator>Mag. Sigl</dc:creator>
  <dc:description/>
  <dc:language>en-GB</dc:language>
  <cp:lastModifiedBy/>
  <cp:lastPrinted>2018-01-15T10:38:26Z</cp:lastPrinted>
  <dcterms:modified xsi:type="dcterms:W3CDTF">2019-12-04T12:36:43Z</dcterms:modified>
  <cp:revision>99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ZAMG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